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drawings/drawing97.xml" ContentType="application/vnd.openxmlformats-officedocument.drawingml.chartshapes+xml"/>
  <Override PartName="/xl/drawings/drawing11.xml" ContentType="application/vnd.openxmlformats-officedocument.drawingml.chartshapes+xml"/>
  <Override PartName="/xl/drawings/drawing68.xml" ContentType="application/vnd.openxmlformats-officedocument.drawingml.chartshapes+xml"/>
  <Override PartName="/xl/drawings/drawing27.xml" ContentType="application/vnd.openxmlformats-officedocument.drawingml.chartshapes+xml"/>
  <Override PartName="/xl/drawings/drawing63.xml" ContentType="application/vnd.openxmlformats-officedocument.drawingml.chartshapes+xml"/>
  <Override PartName="/xl/drawings/drawing87.xml" ContentType="application/vnd.openxmlformats-officedocument.drawingml.chartshapes+xml"/>
  <Override PartName="/xl/drawings/drawing12.xml" ContentType="application/vnd.openxmlformats-officedocument.drawingml.chartshapes+xml"/>
  <Override PartName="/xl/drawings/drawing48.xml" ContentType="application/vnd.openxmlformats-officedocument.drawingml.chartshapes+xml"/>
  <Override PartName="/xl/drawings/drawing94.xml" ContentType="application/vnd.openxmlformats-officedocument.drawingml.chartshapes+xml"/>
  <Override PartName="/xl/drawings/drawing28.xml" ContentType="application/vnd.openxmlformats-officedocument.drawingml.chartshapes+xml"/>
  <Override PartName="/xl/drawings/drawing113.xml" ContentType="application/vnd.openxmlformats-officedocument.drawingml.chartshapes+xml"/>
  <Override PartName="/xl/drawings/drawing13.xml" ContentType="application/vnd.openxmlformats-officedocument.drawingml.chartshapes+xml"/>
  <Override PartName="/xl/drawings/drawing79.xml" ContentType="application/vnd.openxmlformats-officedocument.drawingml.chartshapes+xml"/>
  <Override PartName="/xl/drawings/drawing58.xml" ContentType="application/vnd.openxmlformats-officedocument.drawingml.chartshapes+xml"/>
  <Override PartName="/xl/drawings/drawing85.xml" ContentType="application/vnd.openxmlformats-officedocument.drawingml.chartshapes+xml"/>
  <Override PartName="/xl/drawings/drawing50.xml" ContentType="application/vnd.openxmlformats-officedocument.drawingml.chartshapes+xml"/>
  <Override PartName="/xl/drawings/drawing14.xml" ContentType="application/vnd.openxmlformats-officedocument.drawingml.chartshapes+xml"/>
  <Override PartName="/xl/drawings/drawing82.xml" ContentType="application/vnd.openxmlformats-officedocument.drawingml.chartshapes+xml"/>
  <Override PartName="/xl/drawings/drawing30.xml" ContentType="application/vnd.openxmlformats-officedocument.drawingml.chartshapes+xml"/>
  <Override PartName="/xl/drawings/drawing93.xml" ContentType="application/vnd.openxmlformats-officedocument.drawingml.chartshapes+xml"/>
  <Override PartName="/xl/drawings/drawing64.xml" ContentType="application/vnd.openxmlformats-officedocument.drawingml.chartshapes+xml"/>
  <Override PartName="/xl/drawings/drawing15.xml" ContentType="application/vnd.openxmlformats-officedocument.drawingml.chartshapes+xml"/>
  <Override PartName="/xl/drawings/drawing92.xml" ContentType="application/vnd.openxmlformats-officedocument.drawingml.chartshapes+xml"/>
  <Override PartName="/xl/drawings/drawing59.xml" ContentType="application/vnd.openxmlformats-officedocument.drawingml.chartshapes+xml"/>
  <Override PartName="/xl/drawings/drawing31.xml" ContentType="application/vnd.openxmlformats-officedocument.drawingml.chartshapes+xml"/>
  <Override PartName="/xl/drawings/drawing69.xml" ContentType="application/vnd.openxmlformats-officedocument.drawingml.chartshapes+xml"/>
  <Override PartName="/xl/drawings/drawing16.xml" ContentType="application/vnd.openxmlformats-officedocument.drawingml.chartshapes+xml"/>
  <Override PartName="/xl/drawings/drawing81.xml" ContentType="application/vnd.openxmlformats-officedocument.drawingml.chartshapes+xml"/>
  <Override PartName="/xl/drawings/drawing53.xml" ContentType="application/vnd.openxmlformats-officedocument.drawingml.chartshapes+xml"/>
  <Override PartName="/xl/drawings/drawing78.xml" ContentType="application/vnd.openxmlformats-officedocument.drawingml.chartshapes+xml"/>
  <Override PartName="/xl/drawings/drawing32.xml" ContentType="application/vnd.openxmlformats-officedocument.drawingml.chartshapes+xml"/>
  <Override PartName="/xl/drawings/drawing17.xml" ContentType="application/vnd.openxmlformats-officedocument.drawingml.chartshapes+xml"/>
  <Override PartName="/xl/drawings/drawing112.xml" ContentType="application/vnd.openxmlformats-officedocument.drawingml.chartshapes+xml"/>
  <Override PartName="/xl/drawings/drawing76.xml" ContentType="application/vnd.openxmlformats-officedocument.drawingml.chartshapes+xml"/>
  <Override PartName="/xl/drawings/drawing110.xml" ContentType="application/vnd.openxmlformats-officedocument.drawingml.chartshapes+xml"/>
  <Override PartName="/xl/drawings/drawing60.xml" ContentType="application/vnd.openxmlformats-officedocument.drawingml.chartshapes+xml"/>
  <Override PartName="/xl/drawings/drawing18.xml" ContentType="application/vnd.openxmlformats-officedocument.drawingml.chartshapes+xml"/>
  <Override PartName="/xl/drawings/drawing83.xml" ContentType="application/vnd.openxmlformats-officedocument.drawingml.chartshapes+xml"/>
  <Override PartName="/xl/drawings/drawing54.xml" ContentType="application/vnd.openxmlformats-officedocument.drawingml.chartshapes+xml"/>
  <Override PartName="/xl/drawings/drawing35.xml" ContentType="application/vnd.openxmlformats-officedocument.drawingml.chartshapes+xml"/>
  <Override PartName="/xl/drawings/drawing109.xml" ContentType="application/vnd.openxmlformats-officedocument.drawingml.chartshapes+xml"/>
  <Override PartName="/xl/drawings/drawing19.xml" ContentType="application/vnd.openxmlformats-officedocument.drawingml.chartshapes+xml"/>
  <Override PartName="/xl/drawings/drawing66.xml" ContentType="application/vnd.openxmlformats-officedocument.drawingml.chartshapes+xml"/>
  <Override PartName="/xl/drawings/drawing70.xml" ContentType="application/vnd.openxmlformats-officedocument.drawingml.chartshapes+xml"/>
  <Override PartName="/xl/drawings/drawing91.xml" ContentType="application/vnd.openxmlformats-officedocument.drawingml.chartshapes+xml"/>
  <Override PartName="/xl/drawings/drawing37.xml" ContentType="application/vnd.openxmlformats-officedocument.drawingml.chartshapes+xml"/>
  <Override PartName="/xl/drawings/drawing20.xml" ContentType="application/vnd.openxmlformats-officedocument.drawingml.chartshapes+xml"/>
  <Override PartName="/xl/drawings/drawing108.xml" ContentType="application/vnd.openxmlformats-officedocument.drawingml.chartshapes+xml"/>
  <Override PartName="/xl/drawings/drawing61.xml" ContentType="application/vnd.openxmlformats-officedocument.drawingml.chartshapes+xml"/>
  <Override PartName="/xl/drawings/drawing55.xml" ContentType="application/vnd.openxmlformats-officedocument.drawingml.chartshapes+xml"/>
  <Override PartName="/xl/drawings/drawing80.xml" ContentType="application/vnd.openxmlformats-officedocument.drawingml.chartshapes+xml"/>
  <Override PartName="/xl/drawings/drawing21.xml" ContentType="application/vnd.openxmlformats-officedocument.drawingml.chartshapes+xml"/>
  <Override PartName="/xl/drawings/drawing123.xml" ContentType="application/vnd.openxmlformats-officedocument.drawingml.chartshapes+xml"/>
  <Override PartName="/xl/drawings/drawing116.xml" ContentType="application/vnd.openxmlformats-officedocument.drawingml.chartshapes+xml"/>
  <Override PartName="/xl/drawings/drawing39.xml" ContentType="application/vnd.openxmlformats-officedocument.drawingml.chartshapes+xml"/>
  <Override PartName="/xl/drawings/drawing115.xml" ContentType="application/vnd.openxmlformats-officedocument.drawingml.chartshapes+xml"/>
  <Override PartName="/xl/drawings/drawing122.xml" ContentType="application/vnd.openxmlformats-officedocument.drawingml.chartshapes+xml"/>
  <Override PartName="/xl/drawings/drawing101.xml" ContentType="application/vnd.openxmlformats-officedocument.drawingml.chartshapes+xml"/>
  <Override PartName="/xl/drawings/drawing90.xml" ContentType="application/vnd.openxmlformats-officedocument.drawingml.chartshapes+xml"/>
  <Override PartName="/xl/drawings/drawing67.xml" ContentType="application/vnd.openxmlformats-officedocument.drawingml.chartshapes+xml"/>
  <Override PartName="/xl/drawings/drawing121.xml" ContentType="application/vnd.openxmlformats-officedocument.drawingml.chartshapes+xml"/>
  <Override PartName="/xl/drawings/drawing86.xml" ContentType="application/vnd.openxmlformats-officedocument.drawingml.chartshapes+xml"/>
  <Override PartName="/xl/drawings/drawing119.xml" ContentType="application/vnd.openxmlformats-officedocument.drawingml.chartshapes+xml"/>
  <Override PartName="/xl/drawings/drawing41.xml" ContentType="application/vnd.openxmlformats-officedocument.drawingml.chartshapes+xml"/>
  <Override PartName="/xl/drawings/drawing24.xml" ContentType="application/vnd.openxmlformats-officedocument.drawingml.chartshapes+xml"/>
  <Override PartName="/xl/drawings/drawing118.xml" ContentType="application/vnd.openxmlformats-officedocument.drawingml.chartshapes+xml"/>
  <Override PartName="/xl/drawings/drawing100.xml" ContentType="application/vnd.openxmlformats-officedocument.drawingml.chartshapes+xml"/>
  <Override PartName="/xl/drawings/drawing56.xml" ContentType="application/vnd.openxmlformats-officedocument.drawingml.chartshapes+xml"/>
  <Override PartName="/xl/workbook.xml" ContentType="application/vnd.openxmlformats-officedocument.spreadsheetml.sheet.main+xml"/>
  <Override PartName="/xl/drawings/drawing88.xml" ContentType="application/vnd.openxmlformats-officedocument.drawingml.chartshapes+xml"/>
  <Override PartName="/xl/drawings/drawing25.xml" ContentType="application/vnd.openxmlformats-officedocument.drawingml.chartshapes+xml"/>
  <Override PartName="/xl/drawings/drawing9.xml" ContentType="application/vnd.openxmlformats-officedocument.drawingml.chartshapes+xml"/>
  <Override PartName="/xl/drawings/drawing43.xml" ContentType="application/vnd.openxmlformats-officedocument.drawingml.chartshapes+xml"/>
  <Override PartName="/xl/drawings/drawing99.xml" ContentType="application/vnd.openxmlformats-officedocument.drawingml.chartshapes+xml"/>
  <Override PartName="/xl/drawings/drawing84.xml" ContentType="application/vnd.openxmlformats-officedocument.drawingml.chartshapes+xml"/>
  <Override PartName="/xl/drawings/drawing98.xml" ContentType="application/vnd.openxmlformats-officedocument.drawingml.chartshapes+xml"/>
  <Override PartName="/xl/drawings/drawing10.xml" ContentType="application/vnd.openxmlformats-officedocument.drawingml.chartshapes+xml"/>
  <Override PartName="/xl/drawings/drawing26.xml" ContentType="application/vnd.openxmlformats-officedocument.drawingml.chartshapes+xml"/>
  <Override PartName="/xl/drawings/drawing77.xml" ContentType="application/vnd.openxmlformats-officedocument.drawingml.chartshapes+xml"/>
  <Override PartName="/xl/drawings/drawing62.xml" ContentType="application/vnd.openxmlformats-officedocument.drawingml.chartshapes+xml"/>
  <Override PartName="/xl/drawings/drawing126.xml" ContentType="application/vnd.openxmlformats-officedocument.drawingml.chartshapes+xml"/>
  <Override PartName="/xl/drawings/drawing127.xml" ContentType="application/vnd.openxmlformats-officedocument.drawingml.chartshapes+xml"/>
  <Override PartName="/xl/drawings/drawing129.xml" ContentType="application/vnd.openxmlformats-officedocument.drawingml.chartshapes+xml"/>
  <Override PartName="/xl/drawings/drawing130.xml" ContentType="application/vnd.openxmlformats-officedocument.drawingml.chartshapes+xml"/>
  <Override PartName="/xl/drawings/drawing131.xml" ContentType="application/vnd.openxmlformats-officedocument.drawingml.chartshapes+xml"/>
  <Override PartName="/xl/drawings/drawing133.xml" ContentType="application/vnd.openxmlformats-officedocument.drawingml.chartshapes+xml"/>
  <Override PartName="/xl/drawings/drawing135.xml" ContentType="application/vnd.openxmlformats-officedocument.drawingml.chartshapes+xml"/>
  <Override PartName="/xl/drawings/drawing137.xml" ContentType="application/vnd.openxmlformats-officedocument.drawingml.chartshapes+xml"/>
  <Override PartName="/xl/drawings/drawing57.xml" ContentType="application/vnd.openxmlformats-officedocument.drawingml.chartshapes+xml"/>
  <Override PartName="/xl/drawings/drawing125.xml" ContentType="application/vnd.openxmlformats-officedocument.drawingml.chartshape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8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49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9.xml" ContentType="application/vnd.openxmlformats-officedocument.themeOverride+xml"/>
  <Override PartName="/xl/charts/chart3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32.xml" ContentType="application/vnd.openxmlformats-officedocument.themeOverride+xml"/>
  <Override PartName="/xl/charts/chart3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36.xml" ContentType="application/vnd.openxmlformats-officedocument.themeOverride+xml"/>
  <Override PartName="/xl/charts/chart37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7.xml" ContentType="application/vnd.openxmlformats-officedocument.themeOverride+xml"/>
  <Override PartName="/xl/charts/chart38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8.xml" ContentType="application/vnd.openxmlformats-officedocument.themeOverride+xml"/>
  <Override PartName="/xl/charts/chart39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9.xml" ContentType="application/vnd.openxmlformats-officedocument.themeOverride+xml"/>
  <Override PartName="/xl/charts/chart40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40.xml" ContentType="application/vnd.openxmlformats-officedocument.themeOverride+xml"/>
  <Override PartName="/xl/drawings/drawing65.xml" ContentType="application/vnd.openxmlformats-officedocument.drawing+xml"/>
  <Override PartName="/xl/charts/chart41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41.xml" ContentType="application/vnd.openxmlformats-officedocument.themeOverride+xml"/>
  <Override PartName="/xl/charts/chart42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2.xml" ContentType="application/vnd.openxmlformats-officedocument.themeOverride+xml"/>
  <Override PartName="/xl/charts/chart43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44.xml" ContentType="application/vnd.openxmlformats-officedocument.themeOverride+xml"/>
  <Override PartName="/xl/charts/chart45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45.xml" ContentType="application/vnd.openxmlformats-officedocument.themeOverride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charts/chart46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46.xml" ContentType="application/vnd.openxmlformats-officedocument.themeOverride+xml"/>
  <Override PartName="/xl/charts/chart47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7.xml" ContentType="application/vnd.openxmlformats-officedocument.themeOverride+xml"/>
  <Override PartName="/xl/charts/chart48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8.xml" ContentType="application/vnd.openxmlformats-officedocument.themeOverride+xml"/>
  <Override PartName="/xl/charts/chart49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49.xml" ContentType="application/vnd.openxmlformats-officedocument.themeOverride+xml"/>
  <Override PartName="/xl/charts/chart50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50.xml" ContentType="application/vnd.openxmlformats-officedocument.themeOverride+xml"/>
  <Override PartName="/xl/charts/chart51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51.xml" ContentType="application/vnd.openxmlformats-officedocument.themeOverride+xml"/>
  <Override PartName="/xl/charts/chart52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52.xml" ContentType="application/vnd.openxmlformats-officedocument.themeOverride+xml"/>
  <Override PartName="/xl/charts/chart53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3.xml" ContentType="application/vnd.openxmlformats-officedocument.themeOverride+xml"/>
  <Override PartName="/xl/charts/chart54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54.xml" ContentType="application/vnd.openxmlformats-officedocument.themeOverride+xml"/>
  <Override PartName="/xl/charts/chart55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55.xml" ContentType="application/vnd.openxmlformats-officedocument.themeOverride+xml"/>
  <Override PartName="/xl/charts/chart56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56.xml" ContentType="application/vnd.openxmlformats-officedocument.themeOverride+xml"/>
  <Override PartName="/xl/charts/chart57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7.xml" ContentType="application/vnd.openxmlformats-officedocument.themeOverride+xml"/>
  <Override PartName="/xl/charts/chart58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8.xml" ContentType="application/vnd.openxmlformats-officedocument.themeOverride+xml"/>
  <Override PartName="/xl/drawings/drawing89.xml" ContentType="application/vnd.openxmlformats-officedocument.drawing+xml"/>
  <Override PartName="/xl/charts/chart59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59.xml" ContentType="application/vnd.openxmlformats-officedocument.themeOverride+xml"/>
  <Override PartName="/xl/charts/chart60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60.xml" ContentType="application/vnd.openxmlformats-officedocument.themeOverride+xml"/>
  <Override PartName="/xl/charts/chart61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61.xml" ContentType="application/vnd.openxmlformats-officedocument.themeOverride+xml"/>
  <Override PartName="/xl/charts/chart62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62.xml" ContentType="application/vnd.openxmlformats-officedocument.themeOverride+xml"/>
  <Override PartName="/xl/charts/chart63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63.xml" ContentType="application/vnd.openxmlformats-officedocument.themeOverride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charts/chart64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64.xml" ContentType="application/vnd.openxmlformats-officedocument.themeOverride+xml"/>
  <Override PartName="/xl/charts/chart65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65.xml" ContentType="application/vnd.openxmlformats-officedocument.themeOverride+xml"/>
  <Override PartName="/xl/charts/chart66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66.xml" ContentType="application/vnd.openxmlformats-officedocument.themeOverride+xml"/>
  <Override PartName="/xl/charts/chart67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7.xml" ContentType="application/vnd.openxmlformats-officedocument.themeOverride+xml"/>
  <Override PartName="/xl/charts/chart68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8.xml" ContentType="application/vnd.openxmlformats-officedocument.themeOverride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71.xml" ContentType="application/vnd.openxmlformats-officedocument.drawingml.chart+xml"/>
  <Override PartName="/xl/theme/themeOverride69.xml" ContentType="application/vnd.openxmlformats-officedocument.themeOverride+xml"/>
  <Override PartName="/xl/drawings/drawing111.xml" ContentType="application/vnd.openxmlformats-officedocument.drawing+xml"/>
  <Override PartName="/xl/charts/chart72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73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14.xml" ContentType="application/vnd.openxmlformats-officedocument.drawing+xml"/>
  <Override PartName="/xl/charts/chart7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75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17.xml" ContentType="application/vnd.openxmlformats-officedocument.drawing+xml"/>
  <Override PartName="/xl/charts/chart76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77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20.xml" ContentType="application/vnd.openxmlformats-officedocument.drawing+xml"/>
  <Override PartName="/xl/charts/chart78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9.xml" ContentType="application/vnd.openxmlformats-officedocument.drawingml.chart+xml"/>
  <Override PartName="/xl/theme/themeOverride70.xml" ContentType="application/vnd.openxmlformats-officedocument.themeOverride+xml"/>
  <Override PartName="/xl/charts/chart8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24.xml" ContentType="application/vnd.openxmlformats-officedocument.drawing+xml"/>
  <Override PartName="/xl/charts/chart8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worksheets/sheet1.xml" ContentType="application/vnd.openxmlformats-officedocument.spreadsheetml.worksheet+xml"/>
  <Override PartName="/xl/charts/chart82.xml" ContentType="application/vnd.openxmlformats-officedocument.drawingml.chart+xml"/>
  <Override PartName="/xl/theme/themeOverride71.xml" ContentType="application/vnd.openxmlformats-officedocument.themeOverride+xml"/>
  <Override PartName="/xl/worksheets/sheet2.xml" ContentType="application/vnd.openxmlformats-officedocument.spreadsheetml.worksheet+xml"/>
  <Override PartName="/xl/charts/chart83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worksheets/sheet3.xml" ContentType="application/vnd.openxmlformats-officedocument.spreadsheetml.worksheet+xml"/>
  <Override PartName="/xl/drawings/drawing128.xml" ContentType="application/vnd.openxmlformats-officedocument.drawing+xml"/>
  <Override PartName="/xl/charts/chart8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worksheets/sheet4.xml" ContentType="application/vnd.openxmlformats-officedocument.spreadsheetml.worksheet+xml"/>
  <Override PartName="/xl/charts/chart85.xml" ContentType="application/vnd.openxmlformats-officedocument.drawingml.chart+xml"/>
  <Override PartName="/xl/theme/themeOverride72.xml" ContentType="application/vnd.openxmlformats-officedocument.themeOverride+xml"/>
  <Override PartName="/xl/worksheets/sheet5.xml" ContentType="application/vnd.openxmlformats-officedocument.spreadsheetml.worksheet+xml"/>
  <Override PartName="/xl/charts/chart86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worksheets/sheet6.xml" ContentType="application/vnd.openxmlformats-officedocument.spreadsheetml.worksheet+xml"/>
  <Override PartName="/xl/drawings/drawing132.xml" ContentType="application/vnd.openxmlformats-officedocument.drawing+xml"/>
  <Override PartName="/xl/charts/chart8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theme/themeOverride73.xml" ContentType="application/vnd.openxmlformats-officedocument.themeOverride+xml"/>
  <Override PartName="/xl/worksheets/sheet7.xml" ContentType="application/vnd.openxmlformats-officedocument.spreadsheetml.worksheet+xml"/>
  <Override PartName="/xl/drawings/drawing134.xml" ContentType="application/vnd.openxmlformats-officedocument.drawing+xml"/>
  <Override PartName="/xl/charts/chart88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theme/themeOverride74.xml" ContentType="application/vnd.openxmlformats-officedocument.themeOverride+xml"/>
  <Override PartName="/xl/worksheets/sheet8.xml" ContentType="application/vnd.openxmlformats-officedocument.spreadsheetml.worksheet+xml"/>
  <Override PartName="/xl/drawings/drawing136.xml" ContentType="application/vnd.openxmlformats-officedocument.drawing+xml"/>
  <Override PartName="/xl/charts/chart89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theme/themeOverride75.xml" ContentType="application/vnd.openxmlformats-officedocument.themeOverride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Encuesta Alojam Turísticos (ISTAC)/2025/Municipios/octubre/"/>
    </mc:Choice>
  </mc:AlternateContent>
  <xr:revisionPtr revIDLastSave="0" documentId="8_{9C42C7BB-80DB-4132-87A4-163C79AAE287}" xr6:coauthVersionLast="47" xr6:coauthVersionMax="47" xr10:uidLastSave="{00000000-0000-0000-0000-000000000000}"/>
  <bookViews>
    <workbookView xWindow="-120" yWindow="-120" windowWidth="29040" windowHeight="15720" xr2:uid="{38813BEC-F87B-46A6-BF39-3877EB24B8D1}"/>
  </bookViews>
  <sheets>
    <sheet name="Menú principal" sheetId="1" r:id="rId1"/>
    <sheet name="Resumen indicadores (aloj)" sheetId="2" r:id="rId2"/>
    <sheet name="Resumen indicadores municipios " sheetId="3" r:id="rId3"/>
    <sheet name="Oferta alojativa" sheetId="4" r:id="rId4"/>
    <sheet name="Plazas aloj islas cat y tipolog" sheetId="5" r:id="rId5"/>
    <sheet name="Establecim aloj islas cat y tip" sheetId="6" r:id="rId6"/>
    <sheet name="viajeros entrados" sheetId="7" r:id="rId7"/>
    <sheet name="Viajeros entr evol mensu TF" sheetId="8" r:id="rId8"/>
    <sheet name="Viajeros entr evol mensu TF15-2" sheetId="9" r:id="rId9"/>
    <sheet name="Viajeros entr evol mensu TF cat" sheetId="10" r:id="rId10"/>
    <sheet name="Viajeros entr evol anual TF cat" sheetId="11" r:id="rId11"/>
    <sheet name="Viajeros entr ti-cat ultimo mes" sheetId="12" r:id="rId12"/>
    <sheet name="viaj entrados lugar resid años " sheetId="13" r:id="rId13"/>
    <sheet name="viaj entrados lugar residencia" sheetId="14" r:id="rId14"/>
    <sheet name="viaj entrados lugar residen acu" sheetId="15" r:id="rId15"/>
    <sheet name="viaj entrados lugar residen hot" sheetId="16" r:id="rId16"/>
    <sheet name="viaj entrados lugar residen apt" sheetId="17" r:id="rId17"/>
    <sheet name="viaj entrados lugar residen cat" sheetId="18" r:id="rId18"/>
    <sheet name="viaj entr lugar res año categor" sheetId="19" r:id="rId19"/>
    <sheet name="viajeros alojados" sheetId="20" r:id="rId20"/>
    <sheet name="viaj aloj lugar residen mes" sheetId="21" r:id="rId21"/>
    <sheet name="viaj alojados lugar residen acu" sheetId="22" r:id="rId22"/>
    <sheet name="Pernoctaciones" sheetId="23" r:id="rId23"/>
    <sheet name="Pernoctaciones evol mensu TF" sheetId="24" r:id="rId24"/>
    <sheet name="Pernocta evol mensu TF cat" sheetId="25" r:id="rId25"/>
    <sheet name="Pernoctaciones lugar reside" sheetId="26" r:id="rId26"/>
    <sheet name="Pernoctaciones lugar residen ac" sheetId="27" r:id="rId27"/>
    <sheet name="Pernoctaciones lugar reside año" sheetId="28" r:id="rId28"/>
    <sheet name="Estancia media" sheetId="29" r:id="rId29"/>
    <sheet name="EM evol menusual lugar resd" sheetId="30" r:id="rId30"/>
    <sheet name="EM evol mensu TF cat " sheetId="31" r:id="rId31"/>
    <sheet name="Tasa de ocupación" sheetId="32" r:id="rId32"/>
    <sheet name="tasa de ocupación evol mens" sheetId="33" r:id="rId33"/>
    <sheet name="indicadores rentabilidad" sheetId="34" r:id="rId34"/>
    <sheet name="ADR RevPAR ingresos totales ult" sheetId="35" r:id="rId35"/>
    <sheet name="ADR municipios" sheetId="36" r:id="rId36"/>
    <sheet name="RevPAR  municipios" sheetId="37" r:id="rId37"/>
    <sheet name="viajeros españoles" sheetId="38" r:id="rId38"/>
    <sheet name="distribución españoles x Resid" sheetId="39" r:id="rId39"/>
    <sheet name="distribución españoles x cate" sheetId="40" r:id="rId40"/>
    <sheet name="distribución peninsulare x cate" sheetId="41" r:id="rId41"/>
    <sheet name="distribución canarios x cate" sheetId="42" r:id="rId42"/>
    <sheet name="distribución españoles x mun al" sheetId="43" r:id="rId43"/>
    <sheet name="distribución peninsula x munici" sheetId="44" r:id="rId44"/>
    <sheet name="distribución canarias x munici" sheetId="45" r:id="rId45"/>
    <sheet name="evolución anual viaj ent españo" sheetId="46" r:id="rId46"/>
    <sheet name="evolución anual viaj ent penins" sheetId="47" r:id="rId47"/>
    <sheet name="evolución anual viaj ent canari" sheetId="48" r:id="rId48"/>
  </sheets>
  <definedNames>
    <definedName name="_xlnm.Print_Area" localSheetId="44">'distribución canarias x munici'!$B$3:$AB$37</definedName>
    <definedName name="_xlnm.Print_Area" localSheetId="41">'distribución canarios x cate'!$B$3:$AB$33</definedName>
    <definedName name="_xlnm.Print_Area" localSheetId="39">'distribución españoles x cate'!$B$3:$AB$33</definedName>
    <definedName name="_xlnm.Print_Area" localSheetId="42">'distribución españoles x mun al'!$B$3:$AB$37</definedName>
    <definedName name="_xlnm.Print_Area" localSheetId="38">'distribución españoles x Resid'!$B$3:$AB$32</definedName>
    <definedName name="_xlnm.Print_Area" localSheetId="43">'distribución peninsula x munici'!$B$3:$AB$37</definedName>
    <definedName name="_xlnm.Print_Area" localSheetId="40">'distribución peninsulare x cate'!$B$3:$AB$33</definedName>
    <definedName name="_xlnm.Print_Area" localSheetId="25">'Pernoctaciones lugar reside'!$B$4:$K$162</definedName>
    <definedName name="_xlnm.Print_Area" localSheetId="27">'Pernoctaciones lugar reside año'!$B$4:$M$162</definedName>
    <definedName name="_xlnm.Print_Area" localSheetId="26">'Pernoctaciones lugar residen ac'!$B$3:$K$162</definedName>
    <definedName name="_xlnm.Print_Area" localSheetId="21">'viaj alojados lugar residen acu'!$B$4:$L$163</definedName>
    <definedName name="_xlnm.Print_Area" localSheetId="18">'viaj entr lugar res año categor'!$B$4:$B$164</definedName>
    <definedName name="_xlnm.Print_Area" localSheetId="12">'viaj entrados lugar resid años '!$B$3:$K$162</definedName>
    <definedName name="_xlnm.Print_Area" localSheetId="14">'viaj entrados lugar residen acu'!$B$4:$M$22</definedName>
    <definedName name="_xlnm.Print_Area" localSheetId="16">'viaj entrados lugar residen apt'!$B$4:$K$22</definedName>
    <definedName name="_xlnm.Print_Area" localSheetId="17">'viaj entrados lugar residen cat'!$B$3:$B$163</definedName>
    <definedName name="_xlnm.Print_Area" localSheetId="15">'viaj entrados lugar residen hot'!$B$4:$K$22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5" i="45" l="1"/>
  <c r="P5" i="45"/>
  <c r="L5" i="45"/>
  <c r="N5" i="45"/>
  <c r="J5" i="45"/>
  <c r="R5" i="45"/>
  <c r="O135" i="44"/>
  <c r="M135" i="44"/>
  <c r="K135" i="44"/>
  <c r="I135" i="44"/>
  <c r="H135" i="44"/>
  <c r="M5" i="44"/>
  <c r="N5" i="44"/>
  <c r="J5" i="44"/>
  <c r="I5" i="44"/>
  <c r="H5" i="44"/>
  <c r="F5" i="44"/>
  <c r="I135" i="43"/>
  <c r="G135" i="43"/>
  <c r="S5" i="43"/>
  <c r="P5" i="43"/>
  <c r="L5" i="43"/>
  <c r="I5" i="43"/>
  <c r="H5" i="43"/>
  <c r="F5" i="43"/>
  <c r="K133" i="42"/>
  <c r="G133" i="42"/>
  <c r="H133" i="42"/>
  <c r="S5" i="42"/>
  <c r="R5" i="42"/>
  <c r="Q5" i="42"/>
  <c r="F5" i="42"/>
  <c r="N133" i="41"/>
  <c r="M133" i="41"/>
  <c r="L133" i="41"/>
  <c r="H133" i="41"/>
  <c r="G133" i="41"/>
  <c r="I133" i="41"/>
  <c r="P5" i="41"/>
  <c r="N5" i="41"/>
  <c r="J5" i="41"/>
  <c r="I5" i="41"/>
  <c r="H5" i="41"/>
  <c r="F5" i="41"/>
  <c r="I133" i="40"/>
  <c r="S5" i="40"/>
  <c r="R5" i="40"/>
  <c r="Q5" i="40"/>
  <c r="M5" i="40"/>
  <c r="L5" i="40"/>
  <c r="F5" i="40"/>
  <c r="O123" i="39"/>
  <c r="M123" i="39"/>
  <c r="K123" i="39"/>
  <c r="G123" i="39"/>
  <c r="T5" i="39"/>
  <c r="S5" i="39"/>
  <c r="P5" i="39"/>
  <c r="O5" i="39"/>
  <c r="M5" i="39"/>
  <c r="I5" i="39"/>
  <c r="H5" i="39"/>
  <c r="G5" i="39"/>
  <c r="B3" i="37"/>
  <c r="P5" i="36"/>
  <c r="J5" i="36"/>
  <c r="I5" i="36"/>
  <c r="B3" i="36"/>
  <c r="AK29" i="35"/>
  <c r="W29" i="35"/>
  <c r="H29" i="35"/>
  <c r="AV7" i="35"/>
  <c r="AU7" i="35"/>
  <c r="I95" i="33"/>
  <c r="K73" i="33"/>
  <c r="L74" i="33" s="1"/>
  <c r="I73" i="33"/>
  <c r="K51" i="33"/>
  <c r="M29" i="33"/>
  <c r="G29" i="33"/>
  <c r="E29" i="33"/>
  <c r="J8" i="33"/>
  <c r="J96" i="31"/>
  <c r="M95" i="31"/>
  <c r="N96" i="31" s="1"/>
  <c r="L96" i="31"/>
  <c r="H96" i="31"/>
  <c r="F96" i="31"/>
  <c r="D96" i="31"/>
  <c r="L74" i="31"/>
  <c r="D74" i="31"/>
  <c r="F74" i="31"/>
  <c r="D52" i="31"/>
  <c r="L52" i="31"/>
  <c r="J52" i="31"/>
  <c r="F52" i="31"/>
  <c r="H30" i="31"/>
  <c r="J8" i="31"/>
  <c r="N8" i="31"/>
  <c r="F8" i="31"/>
  <c r="D8" i="31"/>
  <c r="N272" i="30"/>
  <c r="L272" i="30"/>
  <c r="F272" i="30"/>
  <c r="D272" i="30"/>
  <c r="B270" i="30"/>
  <c r="L250" i="30"/>
  <c r="J250" i="30"/>
  <c r="H250" i="30"/>
  <c r="F250" i="30"/>
  <c r="D250" i="30"/>
  <c r="B248" i="30"/>
  <c r="N228" i="30"/>
  <c r="L228" i="30"/>
  <c r="J228" i="30"/>
  <c r="H228" i="30"/>
  <c r="F228" i="30"/>
  <c r="D228" i="30"/>
  <c r="B226" i="30"/>
  <c r="N206" i="30"/>
  <c r="L206" i="30"/>
  <c r="J206" i="30"/>
  <c r="H206" i="30"/>
  <c r="D206" i="30"/>
  <c r="B204" i="30"/>
  <c r="J184" i="30"/>
  <c r="H184" i="30"/>
  <c r="F184" i="30"/>
  <c r="D184" i="30"/>
  <c r="B182" i="30"/>
  <c r="F162" i="30"/>
  <c r="L162" i="30"/>
  <c r="H162" i="30"/>
  <c r="D162" i="30"/>
  <c r="B160" i="30"/>
  <c r="N140" i="30"/>
  <c r="H140" i="30"/>
  <c r="L140" i="30"/>
  <c r="J140" i="30"/>
  <c r="D140" i="30"/>
  <c r="B138" i="30"/>
  <c r="N118" i="30"/>
  <c r="L118" i="30"/>
  <c r="J118" i="30"/>
  <c r="D118" i="30"/>
  <c r="B116" i="30"/>
  <c r="J96" i="30"/>
  <c r="H96" i="30"/>
  <c r="F96" i="30"/>
  <c r="D96" i="30"/>
  <c r="N74" i="30"/>
  <c r="F74" i="30"/>
  <c r="L74" i="30"/>
  <c r="J74" i="30"/>
  <c r="H74" i="30"/>
  <c r="D74" i="30"/>
  <c r="L30" i="30"/>
  <c r="J30" i="30"/>
  <c r="H30" i="30"/>
  <c r="D30" i="30"/>
  <c r="N8" i="30"/>
  <c r="L8" i="30"/>
  <c r="H8" i="30"/>
  <c r="F8" i="30"/>
  <c r="D8" i="30"/>
  <c r="B4" i="28"/>
  <c r="K6" i="27"/>
  <c r="J6" i="27"/>
  <c r="B3" i="27"/>
  <c r="K6" i="26"/>
  <c r="B4" i="26"/>
  <c r="M51" i="25"/>
  <c r="B252" i="24"/>
  <c r="B226" i="24"/>
  <c r="B204" i="24"/>
  <c r="B182" i="24"/>
  <c r="B160" i="24"/>
  <c r="B138" i="24"/>
  <c r="K117" i="24"/>
  <c r="B116" i="24"/>
  <c r="M73" i="24"/>
  <c r="K51" i="24"/>
  <c r="M29" i="24"/>
  <c r="K29" i="24"/>
  <c r="M183" i="24"/>
  <c r="K7" i="24"/>
  <c r="K139" i="24" s="1"/>
  <c r="L7" i="22"/>
  <c r="K7" i="22"/>
  <c r="J7" i="22"/>
  <c r="B4" i="22"/>
  <c r="R8" i="21"/>
  <c r="Q8" i="21"/>
  <c r="I8" i="21"/>
  <c r="B5" i="21"/>
  <c r="V7" i="19"/>
  <c r="R7" i="19"/>
  <c r="N7" i="19"/>
  <c r="B4" i="19"/>
  <c r="Y6" i="18"/>
  <c r="X6" i="18"/>
  <c r="R6" i="18"/>
  <c r="B3" i="18"/>
  <c r="W7" i="17"/>
  <c r="V7" i="17"/>
  <c r="I7" i="17"/>
  <c r="B4" i="17"/>
  <c r="W7" i="16"/>
  <c r="V7" i="16"/>
  <c r="B4" i="16"/>
  <c r="Y7" i="15"/>
  <c r="X7" i="15"/>
  <c r="M7" i="15"/>
  <c r="K7" i="15"/>
  <c r="J7" i="15"/>
  <c r="B4" i="15"/>
  <c r="J9" i="14"/>
  <c r="I9" i="14"/>
  <c r="B6" i="14"/>
  <c r="V6" i="13"/>
  <c r="U6" i="13"/>
  <c r="W6" i="13"/>
  <c r="K6" i="13"/>
  <c r="I6" i="13"/>
  <c r="J6" i="13"/>
  <c r="B3" i="13"/>
  <c r="L5" i="12"/>
  <c r="K5" i="12"/>
  <c r="L96" i="10"/>
  <c r="K95" i="10"/>
  <c r="I95" i="10"/>
  <c r="N74" i="10"/>
  <c r="K73" i="10"/>
  <c r="L74" i="10" s="1"/>
  <c r="I73" i="10"/>
  <c r="K51" i="10"/>
  <c r="L30" i="10"/>
  <c r="J30" i="10"/>
  <c r="N30" i="10"/>
  <c r="K29" i="10"/>
  <c r="I29" i="10"/>
  <c r="N8" i="10"/>
  <c r="K7" i="10"/>
  <c r="I7" i="10"/>
  <c r="G7" i="10"/>
  <c r="H8" i="10" s="1"/>
  <c r="B270" i="8"/>
  <c r="M249" i="8"/>
  <c r="N250" i="8" s="1"/>
  <c r="B248" i="8"/>
  <c r="B226" i="8"/>
  <c r="B204" i="8"/>
  <c r="N184" i="8"/>
  <c r="M183" i="8"/>
  <c r="B182" i="8"/>
  <c r="B160" i="8"/>
  <c r="B138" i="8"/>
  <c r="N118" i="8"/>
  <c r="M117" i="8"/>
  <c r="B116" i="8"/>
  <c r="K95" i="8"/>
  <c r="L96" i="8" s="1"/>
  <c r="I95" i="8"/>
  <c r="J96" i="8" s="1"/>
  <c r="L52" i="8"/>
  <c r="K51" i="8"/>
  <c r="L8" i="8"/>
  <c r="J8" i="8"/>
  <c r="K7" i="8"/>
  <c r="I7" i="8"/>
  <c r="K6" i="6"/>
  <c r="J6" i="6"/>
  <c r="I6" i="6"/>
  <c r="B3" i="6"/>
  <c r="V6" i="5"/>
  <c r="U6" i="5"/>
  <c r="I6" i="5"/>
  <c r="B3" i="5"/>
  <c r="K152" i="3"/>
  <c r="J152" i="3"/>
  <c r="K6" i="3"/>
  <c r="J6" i="3"/>
  <c r="L58" i="2"/>
  <c r="K31" i="2"/>
  <c r="J31" i="2"/>
  <c r="B39" i="1"/>
  <c r="B38" i="1"/>
  <c r="B37" i="1"/>
  <c r="M2" i="1"/>
  <c r="F254" i="30"/>
  <c r="L253" i="30"/>
  <c r="F253" i="30"/>
  <c r="L252" i="30"/>
  <c r="F252" i="30"/>
  <c r="L251" i="30"/>
  <c r="F251" i="30"/>
  <c r="H241" i="30"/>
  <c r="L240" i="30"/>
  <c r="F240" i="30"/>
  <c r="J239" i="30"/>
  <c r="J238" i="30"/>
  <c r="J237" i="30"/>
  <c r="J236" i="30"/>
  <c r="J235" i="30"/>
  <c r="J234" i="30"/>
  <c r="J233" i="30"/>
  <c r="J232" i="30"/>
  <c r="J231" i="30"/>
  <c r="J230" i="30"/>
  <c r="J229" i="30"/>
  <c r="J197" i="30"/>
  <c r="H196" i="30"/>
  <c r="L195" i="30"/>
  <c r="F195" i="30"/>
  <c r="L194" i="30"/>
  <c r="F194" i="30"/>
  <c r="L193" i="30"/>
  <c r="F193" i="30"/>
  <c r="L192" i="30"/>
  <c r="F192" i="30"/>
  <c r="L191" i="30"/>
  <c r="F191" i="30"/>
  <c r="L190" i="30"/>
  <c r="F190" i="30"/>
  <c r="L189" i="30"/>
  <c r="F189" i="30"/>
  <c r="L188" i="30"/>
  <c r="F188" i="30"/>
  <c r="L187" i="30"/>
  <c r="F187" i="30"/>
  <c r="L186" i="30"/>
  <c r="F186" i="30"/>
  <c r="L185" i="30"/>
  <c r="F185" i="30"/>
  <c r="H175" i="30"/>
  <c r="L174" i="30"/>
  <c r="F174" i="30"/>
  <c r="J173" i="30"/>
  <c r="J172" i="30"/>
  <c r="J171" i="30"/>
  <c r="J170" i="30"/>
  <c r="J169" i="30"/>
  <c r="J168" i="30"/>
  <c r="J167" i="30"/>
  <c r="J166" i="30"/>
  <c r="N17" i="35"/>
  <c r="AB9" i="35"/>
  <c r="AB14" i="35"/>
  <c r="N104" i="33"/>
  <c r="N102" i="33"/>
  <c r="C109" i="33"/>
  <c r="H42" i="33"/>
  <c r="N38" i="33"/>
  <c r="H32" i="33"/>
  <c r="L21" i="33"/>
  <c r="H18" i="33"/>
  <c r="N16" i="33"/>
  <c r="H15" i="33"/>
  <c r="N13" i="33"/>
  <c r="H12" i="33"/>
  <c r="N10" i="33"/>
  <c r="H9" i="33"/>
  <c r="F108" i="31"/>
  <c r="F42" i="31"/>
  <c r="F109" i="31"/>
  <c r="L20" i="31"/>
  <c r="N16" i="31"/>
  <c r="N13" i="31"/>
  <c r="N10" i="31"/>
  <c r="L284" i="30"/>
  <c r="L282" i="30"/>
  <c r="J281" i="30"/>
  <c r="N280" i="30"/>
  <c r="L279" i="30"/>
  <c r="J278" i="30"/>
  <c r="N277" i="30"/>
  <c r="L276" i="30"/>
  <c r="J275" i="30"/>
  <c r="N274" i="30"/>
  <c r="L273" i="30"/>
  <c r="L263" i="30"/>
  <c r="N16" i="35"/>
  <c r="AB8" i="35"/>
  <c r="F107" i="33"/>
  <c r="N100" i="33"/>
  <c r="N98" i="33"/>
  <c r="C87" i="33"/>
  <c r="F35" i="33"/>
  <c r="N31" i="33"/>
  <c r="N39" i="33"/>
  <c r="H105" i="33"/>
  <c r="F84" i="31"/>
  <c r="F81" i="31"/>
  <c r="F78" i="31"/>
  <c r="F75" i="31"/>
  <c r="F41" i="31"/>
  <c r="F38" i="31"/>
  <c r="F35" i="31"/>
  <c r="H34" i="31"/>
  <c r="F32" i="31"/>
  <c r="H31" i="31"/>
  <c r="J18" i="31"/>
  <c r="H17" i="31"/>
  <c r="J15" i="31"/>
  <c r="H14" i="31"/>
  <c r="J12" i="31"/>
  <c r="H11" i="31"/>
  <c r="J9" i="31"/>
  <c r="H285" i="30"/>
  <c r="J284" i="30"/>
  <c r="F283" i="30"/>
  <c r="H281" i="30"/>
  <c r="F280" i="30"/>
  <c r="H278" i="30"/>
  <c r="F277" i="30"/>
  <c r="H275" i="30"/>
  <c r="F274" i="30"/>
  <c r="J263" i="30"/>
  <c r="F262" i="30"/>
  <c r="J261" i="30"/>
  <c r="J260" i="30"/>
  <c r="J259" i="30"/>
  <c r="J258" i="30"/>
  <c r="J257" i="30"/>
  <c r="J256" i="30"/>
  <c r="J255" i="30"/>
  <c r="J254" i="30"/>
  <c r="J253" i="30"/>
  <c r="J252" i="30"/>
  <c r="J251" i="30"/>
  <c r="L241" i="30"/>
  <c r="F241" i="30"/>
  <c r="J240" i="30"/>
  <c r="H239" i="30"/>
  <c r="N238" i="30"/>
  <c r="H238" i="30"/>
  <c r="N237" i="30"/>
  <c r="H237" i="30"/>
  <c r="N236" i="30"/>
  <c r="H236" i="30"/>
  <c r="N235" i="30"/>
  <c r="H235" i="30"/>
  <c r="N234" i="30"/>
  <c r="H234" i="30"/>
  <c r="N233" i="30"/>
  <c r="H233" i="30"/>
  <c r="N232" i="30"/>
  <c r="H232" i="30"/>
  <c r="N231" i="30"/>
  <c r="H231" i="30"/>
  <c r="N230" i="30"/>
  <c r="H230" i="30"/>
  <c r="N229" i="30"/>
  <c r="H229" i="30"/>
  <c r="H197" i="30"/>
  <c r="L196" i="30"/>
  <c r="F196" i="30"/>
  <c r="J195" i="30"/>
  <c r="J194" i="30"/>
  <c r="J193" i="30"/>
  <c r="J192" i="30"/>
  <c r="J191" i="30"/>
  <c r="J190" i="30"/>
  <c r="J189" i="30"/>
  <c r="J188" i="30"/>
  <c r="J187" i="30"/>
  <c r="J186" i="30"/>
  <c r="J185" i="30"/>
  <c r="L175" i="30"/>
  <c r="F175" i="30"/>
  <c r="J174" i="30"/>
  <c r="H173" i="30"/>
  <c r="N172" i="30"/>
  <c r="H172" i="30"/>
  <c r="N171" i="30"/>
  <c r="H171" i="30"/>
  <c r="N170" i="30"/>
  <c r="H170" i="30"/>
  <c r="N169" i="30"/>
  <c r="H169" i="30"/>
  <c r="N168" i="30"/>
  <c r="H168" i="30"/>
  <c r="N167" i="30"/>
  <c r="H167" i="30"/>
  <c r="N166" i="30"/>
  <c r="N9" i="35"/>
  <c r="H100" i="33"/>
  <c r="H98" i="33"/>
  <c r="H38" i="33"/>
  <c r="F21" i="33"/>
  <c r="H19" i="33"/>
  <c r="N17" i="33"/>
  <c r="H16" i="33"/>
  <c r="N14" i="33"/>
  <c r="H13" i="33"/>
  <c r="N11" i="33"/>
  <c r="H10" i="33"/>
  <c r="F103" i="33"/>
  <c r="F64" i="31"/>
  <c r="H21" i="31"/>
  <c r="N17" i="31"/>
  <c r="N14" i="31"/>
  <c r="N11" i="31"/>
  <c r="F285" i="30"/>
  <c r="L283" i="30"/>
  <c r="J282" i="30"/>
  <c r="N281" i="30"/>
  <c r="L280" i="30"/>
  <c r="J279" i="30"/>
  <c r="N278" i="30"/>
  <c r="L277" i="30"/>
  <c r="J276" i="30"/>
  <c r="N275" i="30"/>
  <c r="L274" i="30"/>
  <c r="J273" i="30"/>
  <c r="H43" i="30"/>
  <c r="L42" i="30"/>
  <c r="F42" i="30"/>
  <c r="J41" i="30"/>
  <c r="J40" i="30"/>
  <c r="J39" i="30"/>
  <c r="J38" i="30"/>
  <c r="J37" i="30"/>
  <c r="J36" i="30"/>
  <c r="J35" i="30"/>
  <c r="J34" i="30"/>
  <c r="J33" i="30"/>
  <c r="J32" i="30"/>
  <c r="J31" i="30"/>
  <c r="F80" i="33"/>
  <c r="N32" i="33"/>
  <c r="H17" i="33"/>
  <c r="N12" i="33"/>
  <c r="H86" i="31"/>
  <c r="H79" i="31"/>
  <c r="F77" i="31"/>
  <c r="J55" i="31"/>
  <c r="J35" i="31"/>
  <c r="H18" i="31"/>
  <c r="J16" i="31"/>
  <c r="H9" i="31"/>
  <c r="J283" i="30"/>
  <c r="L281" i="30"/>
  <c r="N279" i="30"/>
  <c r="J274" i="30"/>
  <c r="F239" i="30"/>
  <c r="L237" i="30"/>
  <c r="F236" i="30"/>
  <c r="L234" i="30"/>
  <c r="F233" i="30"/>
  <c r="L231" i="30"/>
  <c r="F230" i="30"/>
  <c r="H219" i="30"/>
  <c r="J217" i="30"/>
  <c r="J214" i="30"/>
  <c r="J211" i="30"/>
  <c r="J208" i="30"/>
  <c r="J175" i="30"/>
  <c r="L173" i="30"/>
  <c r="F172" i="30"/>
  <c r="L170" i="30"/>
  <c r="F169" i="30"/>
  <c r="L167" i="30"/>
  <c r="H166" i="30"/>
  <c r="J165" i="30"/>
  <c r="L164" i="30"/>
  <c r="F163" i="30"/>
  <c r="H131" i="30"/>
  <c r="J129" i="30"/>
  <c r="J126" i="30"/>
  <c r="J123" i="30"/>
  <c r="J120" i="30"/>
  <c r="H109" i="30"/>
  <c r="H108" i="30"/>
  <c r="J107" i="30"/>
  <c r="L106" i="30"/>
  <c r="F105" i="30"/>
  <c r="J104" i="30"/>
  <c r="H103" i="30"/>
  <c r="L102" i="30"/>
  <c r="J101" i="30"/>
  <c r="H100" i="30"/>
  <c r="L99" i="30"/>
  <c r="J98" i="30"/>
  <c r="H97" i="30"/>
  <c r="J85" i="30"/>
  <c r="F43" i="30"/>
  <c r="L41" i="30"/>
  <c r="N39" i="30"/>
  <c r="L38" i="30"/>
  <c r="N36" i="30"/>
  <c r="L35" i="30"/>
  <c r="N33" i="30"/>
  <c r="L32" i="30"/>
  <c r="J20" i="30"/>
  <c r="L19" i="30"/>
  <c r="J18" i="30"/>
  <c r="H17" i="30"/>
  <c r="L16" i="30"/>
  <c r="J15" i="30"/>
  <c r="H14" i="30"/>
  <c r="L13" i="30"/>
  <c r="J12" i="30"/>
  <c r="H11" i="30"/>
  <c r="L10" i="30"/>
  <c r="J9" i="30"/>
  <c r="F104" i="33"/>
  <c r="F84" i="33"/>
  <c r="H78" i="33"/>
  <c r="H54" i="33"/>
  <c r="F41" i="33"/>
  <c r="H31" i="33"/>
  <c r="L53" i="33"/>
  <c r="F86" i="31"/>
  <c r="J81" i="31"/>
  <c r="H39" i="31"/>
  <c r="F37" i="31"/>
  <c r="F20" i="31"/>
  <c r="N12" i="31"/>
  <c r="F281" i="30"/>
  <c r="H279" i="30"/>
  <c r="N260" i="30"/>
  <c r="H259" i="30"/>
  <c r="N257" i="30"/>
  <c r="H256" i="30"/>
  <c r="N254" i="30"/>
  <c r="H253" i="30"/>
  <c r="N251" i="30"/>
  <c r="F197" i="30"/>
  <c r="H195" i="30"/>
  <c r="N193" i="30"/>
  <c r="H192" i="30"/>
  <c r="N190" i="30"/>
  <c r="H189" i="30"/>
  <c r="N187" i="30"/>
  <c r="H186" i="30"/>
  <c r="F166" i="30"/>
  <c r="H165" i="30"/>
  <c r="N163" i="30"/>
  <c r="F131" i="30"/>
  <c r="H130" i="30"/>
  <c r="H129" i="30"/>
  <c r="L128" i="30"/>
  <c r="N127" i="30"/>
  <c r="F127" i="30"/>
  <c r="H126" i="30"/>
  <c r="L125" i="30"/>
  <c r="N124" i="30"/>
  <c r="F124" i="30"/>
  <c r="H123" i="30"/>
  <c r="L122" i="30"/>
  <c r="N121" i="30"/>
  <c r="F121" i="30"/>
  <c r="H120" i="30"/>
  <c r="L119" i="30"/>
  <c r="F109" i="30"/>
  <c r="H107" i="30"/>
  <c r="N105" i="30"/>
  <c r="N103" i="30"/>
  <c r="F103" i="30"/>
  <c r="N100" i="30"/>
  <c r="F100" i="30"/>
  <c r="N97" i="30"/>
  <c r="F97" i="30"/>
  <c r="J63" i="30"/>
  <c r="J60" i="30"/>
  <c r="J57" i="30"/>
  <c r="J54" i="30"/>
  <c r="H87" i="30"/>
  <c r="L43" i="30"/>
  <c r="H42" i="30"/>
  <c r="H40" i="30"/>
  <c r="F39" i="30"/>
  <c r="H37" i="30"/>
  <c r="F36" i="30"/>
  <c r="H34" i="30"/>
  <c r="F33" i="30"/>
  <c r="H31" i="30"/>
  <c r="F21" i="30"/>
  <c r="H20" i="30"/>
  <c r="N17" i="30"/>
  <c r="F17" i="30"/>
  <c r="N14" i="30"/>
  <c r="F14" i="30"/>
  <c r="N11" i="30"/>
  <c r="F11" i="30"/>
  <c r="V14" i="35"/>
  <c r="H12" i="35"/>
  <c r="F78" i="33"/>
  <c r="F36" i="33"/>
  <c r="J20" i="33"/>
  <c r="N15" i="33"/>
  <c r="H11" i="33"/>
  <c r="J57" i="33"/>
  <c r="J98" i="31"/>
  <c r="H85" i="31"/>
  <c r="F83" i="31"/>
  <c r="H76" i="31"/>
  <c r="J61" i="31"/>
  <c r="J41" i="31"/>
  <c r="J32" i="31"/>
  <c r="J19" i="31"/>
  <c r="H12" i="31"/>
  <c r="J10" i="31"/>
  <c r="N282" i="30"/>
  <c r="J277" i="30"/>
  <c r="L275" i="30"/>
  <c r="N273" i="30"/>
  <c r="J262" i="30"/>
  <c r="H240" i="30"/>
  <c r="L238" i="30"/>
  <c r="F237" i="30"/>
  <c r="L235" i="30"/>
  <c r="F234" i="30"/>
  <c r="L232" i="30"/>
  <c r="F231" i="30"/>
  <c r="L229" i="30"/>
  <c r="L218" i="30"/>
  <c r="J215" i="30"/>
  <c r="J212" i="30"/>
  <c r="J209" i="30"/>
  <c r="F173" i="30"/>
  <c r="L171" i="30"/>
  <c r="F170" i="30"/>
  <c r="L168" i="30"/>
  <c r="F167" i="30"/>
  <c r="F165" i="30"/>
  <c r="J164" i="30"/>
  <c r="L163" i="30"/>
  <c r="H152" i="30"/>
  <c r="L150" i="30"/>
  <c r="F149" i="30"/>
  <c r="L147" i="30"/>
  <c r="F146" i="30"/>
  <c r="L144" i="30"/>
  <c r="F143" i="30"/>
  <c r="L141" i="30"/>
  <c r="F130" i="30"/>
  <c r="J128" i="30"/>
  <c r="J125" i="30"/>
  <c r="J122" i="30"/>
  <c r="J119" i="30"/>
  <c r="F108" i="30"/>
  <c r="F107" i="30"/>
  <c r="J106" i="30"/>
  <c r="L105" i="30"/>
  <c r="H104" i="30"/>
  <c r="L103" i="30"/>
  <c r="J102" i="30"/>
  <c r="H101" i="30"/>
  <c r="L100" i="30"/>
  <c r="J99" i="30"/>
  <c r="H98" i="30"/>
  <c r="L97" i="30"/>
  <c r="J87" i="30"/>
  <c r="H85" i="30"/>
  <c r="H82" i="30"/>
  <c r="H79" i="30"/>
  <c r="H76" i="30"/>
  <c r="J65" i="30"/>
  <c r="F86" i="30"/>
  <c r="N40" i="30"/>
  <c r="L39" i="30"/>
  <c r="N37" i="30"/>
  <c r="L36" i="30"/>
  <c r="N34" i="30"/>
  <c r="L33" i="30"/>
  <c r="N31" i="30"/>
  <c r="L21" i="30"/>
  <c r="J19" i="30"/>
  <c r="H18" i="30"/>
  <c r="L17" i="30"/>
  <c r="J16" i="30"/>
  <c r="H15" i="30"/>
  <c r="L14" i="30"/>
  <c r="J13" i="30"/>
  <c r="H12" i="30"/>
  <c r="L11" i="30"/>
  <c r="J10" i="30"/>
  <c r="H9" i="30"/>
  <c r="V11" i="35"/>
  <c r="F102" i="33"/>
  <c r="H76" i="33"/>
  <c r="H64" i="33"/>
  <c r="L65" i="33"/>
  <c r="J39" i="33"/>
  <c r="H36" i="31"/>
  <c r="F34" i="31"/>
  <c r="N15" i="31"/>
  <c r="H284" i="30"/>
  <c r="H282" i="30"/>
  <c r="F275" i="30"/>
  <c r="H273" i="30"/>
  <c r="H260" i="30"/>
  <c r="N258" i="30"/>
  <c r="H257" i="30"/>
  <c r="N255" i="30"/>
  <c r="H254" i="30"/>
  <c r="N252" i="30"/>
  <c r="H251" i="30"/>
  <c r="J196" i="30"/>
  <c r="N194" i="30"/>
  <c r="H193" i="30"/>
  <c r="N191" i="30"/>
  <c r="H190" i="30"/>
  <c r="N188" i="30"/>
  <c r="H187" i="30"/>
  <c r="N185" i="30"/>
  <c r="N165" i="30"/>
  <c r="H164" i="30"/>
  <c r="L131" i="30"/>
  <c r="F129" i="30"/>
  <c r="H128" i="30"/>
  <c r="L127" i="30"/>
  <c r="N126" i="30"/>
  <c r="F126" i="30"/>
  <c r="H125" i="30"/>
  <c r="L124" i="30"/>
  <c r="N123" i="30"/>
  <c r="F123" i="30"/>
  <c r="H122" i="30"/>
  <c r="L121" i="30"/>
  <c r="N120" i="30"/>
  <c r="F120" i="30"/>
  <c r="H119" i="30"/>
  <c r="L109" i="30"/>
  <c r="H106" i="30"/>
  <c r="N104" i="30"/>
  <c r="F104" i="30"/>
  <c r="N101" i="30"/>
  <c r="F101" i="30"/>
  <c r="N98" i="30"/>
  <c r="F98" i="30"/>
  <c r="J61" i="30"/>
  <c r="J58" i="30"/>
  <c r="H57" i="30"/>
  <c r="J55" i="30"/>
  <c r="H54" i="30"/>
  <c r="J43" i="30"/>
  <c r="H41" i="30"/>
  <c r="F40" i="30"/>
  <c r="H38" i="30"/>
  <c r="F37" i="30"/>
  <c r="H35" i="30"/>
  <c r="F34" i="30"/>
  <c r="H32" i="30"/>
  <c r="F31" i="30"/>
  <c r="J21" i="30"/>
  <c r="F20" i="30"/>
  <c r="N18" i="30"/>
  <c r="F18" i="30"/>
  <c r="N15" i="30"/>
  <c r="F15" i="30"/>
  <c r="N12" i="30"/>
  <c r="F12" i="30"/>
  <c r="N9" i="30"/>
  <c r="F9" i="30"/>
  <c r="N15" i="35"/>
  <c r="F62" i="33"/>
  <c r="N9" i="33"/>
  <c r="J84" i="31"/>
  <c r="H43" i="31"/>
  <c r="L278" i="30"/>
  <c r="L197" i="30"/>
  <c r="N192" i="30"/>
  <c r="H188" i="30"/>
  <c r="F171" i="30"/>
  <c r="L166" i="30"/>
  <c r="F164" i="30"/>
  <c r="L149" i="30"/>
  <c r="F145" i="30"/>
  <c r="J131" i="30"/>
  <c r="N128" i="30"/>
  <c r="L126" i="30"/>
  <c r="H124" i="30"/>
  <c r="F122" i="30"/>
  <c r="N119" i="30"/>
  <c r="J109" i="30"/>
  <c r="L104" i="30"/>
  <c r="H99" i="30"/>
  <c r="J97" i="30"/>
  <c r="H61" i="30"/>
  <c r="J59" i="30"/>
  <c r="F38" i="30"/>
  <c r="H36" i="30"/>
  <c r="N16" i="30"/>
  <c r="F13" i="30"/>
  <c r="F100" i="33"/>
  <c r="N37" i="33"/>
  <c r="H82" i="31"/>
  <c r="L75" i="31"/>
  <c r="J42" i="31"/>
  <c r="L35" i="31"/>
  <c r="L38" i="31"/>
  <c r="H15" i="31"/>
  <c r="F278" i="30"/>
  <c r="H261" i="30"/>
  <c r="N256" i="30"/>
  <c r="H252" i="30"/>
  <c r="J241" i="30"/>
  <c r="L236" i="30"/>
  <c r="F232" i="30"/>
  <c r="J216" i="30"/>
  <c r="J207" i="30"/>
  <c r="J149" i="30"/>
  <c r="H147" i="30"/>
  <c r="N142" i="30"/>
  <c r="L130" i="30"/>
  <c r="J121" i="30"/>
  <c r="N106" i="30"/>
  <c r="N102" i="30"/>
  <c r="F99" i="30"/>
  <c r="F85" i="30"/>
  <c r="H83" i="30"/>
  <c r="F76" i="30"/>
  <c r="F57" i="30"/>
  <c r="L37" i="30"/>
  <c r="N35" i="30"/>
  <c r="H16" i="30"/>
  <c r="J14" i="30"/>
  <c r="L12" i="30"/>
  <c r="H56" i="33"/>
  <c r="J34" i="33"/>
  <c r="N18" i="33"/>
  <c r="J75" i="31"/>
  <c r="N9" i="31"/>
  <c r="N276" i="30"/>
  <c r="H191" i="30"/>
  <c r="N186" i="30"/>
  <c r="H174" i="30"/>
  <c r="L169" i="30"/>
  <c r="L165" i="30"/>
  <c r="J163" i="30"/>
  <c r="F151" i="30"/>
  <c r="L146" i="30"/>
  <c r="F142" i="30"/>
  <c r="J130" i="30"/>
  <c r="F128" i="30"/>
  <c r="N125" i="30"/>
  <c r="L123" i="30"/>
  <c r="H121" i="30"/>
  <c r="F119" i="30"/>
  <c r="L108" i="30"/>
  <c r="F106" i="30"/>
  <c r="H102" i="30"/>
  <c r="J100" i="30"/>
  <c r="L98" i="30"/>
  <c r="F87" i="30"/>
  <c r="L79" i="30"/>
  <c r="J64" i="30"/>
  <c r="J62" i="30"/>
  <c r="L60" i="30"/>
  <c r="H55" i="30"/>
  <c r="J53" i="30"/>
  <c r="H63" i="30"/>
  <c r="F41" i="30"/>
  <c r="H39" i="30"/>
  <c r="F32" i="30"/>
  <c r="F87" i="31"/>
  <c r="F80" i="31"/>
  <c r="F40" i="31"/>
  <c r="H33" i="31"/>
  <c r="H65" i="31"/>
  <c r="J13" i="31"/>
  <c r="H276" i="30"/>
  <c r="N259" i="30"/>
  <c r="H255" i="30"/>
  <c r="L239" i="30"/>
  <c r="F235" i="30"/>
  <c r="L230" i="30"/>
  <c r="J210" i="30"/>
  <c r="H163" i="30"/>
  <c r="L153" i="30"/>
  <c r="N148" i="30"/>
  <c r="J146" i="30"/>
  <c r="H144" i="30"/>
  <c r="H153" i="30"/>
  <c r="J127" i="30"/>
  <c r="J108" i="30"/>
  <c r="F102" i="30"/>
  <c r="J86" i="30"/>
  <c r="F79" i="30"/>
  <c r="H77" i="30"/>
  <c r="F60" i="30"/>
  <c r="L40" i="30"/>
  <c r="N38" i="30"/>
  <c r="L31" i="30"/>
  <c r="H19" i="30"/>
  <c r="J17" i="30"/>
  <c r="L15" i="30"/>
  <c r="H10" i="30"/>
  <c r="H108" i="33"/>
  <c r="H86" i="33"/>
  <c r="H14" i="33"/>
  <c r="J38" i="31"/>
  <c r="N18" i="31"/>
  <c r="J280" i="30"/>
  <c r="H194" i="30"/>
  <c r="N189" i="30"/>
  <c r="H185" i="30"/>
  <c r="L172" i="30"/>
  <c r="F168" i="30"/>
  <c r="F148" i="30"/>
  <c r="L143" i="30"/>
  <c r="L129" i="30"/>
  <c r="H127" i="30"/>
  <c r="F125" i="30"/>
  <c r="N122" i="30"/>
  <c r="L120" i="30"/>
  <c r="L107" i="30"/>
  <c r="J105" i="30"/>
  <c r="J103" i="30"/>
  <c r="L101" i="30"/>
  <c r="L82" i="30"/>
  <c r="L63" i="30"/>
  <c r="H58" i="30"/>
  <c r="J56" i="30"/>
  <c r="L54" i="30"/>
  <c r="J42" i="30"/>
  <c r="F35" i="30"/>
  <c r="H33" i="30"/>
  <c r="H21" i="30"/>
  <c r="F19" i="30"/>
  <c r="N13" i="30"/>
  <c r="F10" i="30"/>
  <c r="F43" i="33"/>
  <c r="L84" i="31"/>
  <c r="H150" i="30"/>
  <c r="J124" i="30"/>
  <c r="H105" i="30"/>
  <c r="C20" i="28"/>
  <c r="H263" i="30"/>
  <c r="F218" i="30"/>
  <c r="N164" i="30"/>
  <c r="J11" i="30"/>
  <c r="J104" i="31"/>
  <c r="F31" i="31"/>
  <c r="L285" i="30"/>
  <c r="H258" i="30"/>
  <c r="F238" i="30"/>
  <c r="J213" i="30"/>
  <c r="N145" i="30"/>
  <c r="F16" i="30"/>
  <c r="N10" i="30"/>
  <c r="C48" i="28"/>
  <c r="H17" i="35"/>
  <c r="L62" i="33"/>
  <c r="N253" i="30"/>
  <c r="L233" i="30"/>
  <c r="J143" i="30"/>
  <c r="N99" i="30"/>
  <c r="F82" i="30"/>
  <c r="L20" i="30"/>
  <c r="L9" i="30"/>
  <c r="F229" i="30"/>
  <c r="H141" i="30"/>
  <c r="H80" i="30"/>
  <c r="H65" i="30"/>
  <c r="F54" i="30"/>
  <c r="L34" i="30"/>
  <c r="F20" i="28"/>
  <c r="L152" i="30"/>
  <c r="L18" i="30"/>
  <c r="D20" i="28"/>
  <c r="J58" i="31"/>
  <c r="H13" i="30"/>
  <c r="F82" i="33"/>
  <c r="F63" i="30"/>
  <c r="H65" i="25"/>
  <c r="F64" i="25"/>
  <c r="J63" i="25"/>
  <c r="J62" i="25"/>
  <c r="J61" i="25"/>
  <c r="J60" i="25"/>
  <c r="J59" i="25"/>
  <c r="J58" i="25"/>
  <c r="J57" i="25"/>
  <c r="J56" i="25"/>
  <c r="J55" i="25"/>
  <c r="J54" i="25"/>
  <c r="J53" i="25"/>
  <c r="H21" i="25"/>
  <c r="L20" i="25"/>
  <c r="F20" i="25"/>
  <c r="J19" i="25"/>
  <c r="J18" i="25"/>
  <c r="J17" i="25"/>
  <c r="J16" i="25"/>
  <c r="J15" i="25"/>
  <c r="J14" i="25"/>
  <c r="J13" i="25"/>
  <c r="J12" i="25"/>
  <c r="J11" i="25"/>
  <c r="J10" i="25"/>
  <c r="J9" i="25"/>
  <c r="F48" i="28"/>
  <c r="G34" i="28"/>
  <c r="G104" i="27"/>
  <c r="G48" i="27"/>
  <c r="F132" i="26"/>
  <c r="C104" i="26"/>
  <c r="N32" i="30"/>
  <c r="F65" i="25"/>
  <c r="J64" i="25"/>
  <c r="H63" i="25"/>
  <c r="H62" i="25"/>
  <c r="H61" i="25"/>
  <c r="H60" i="25"/>
  <c r="H59" i="25"/>
  <c r="H58" i="25"/>
  <c r="H57" i="25"/>
  <c r="H56" i="25"/>
  <c r="H55" i="25"/>
  <c r="H54" i="25"/>
  <c r="H53" i="25"/>
  <c r="L21" i="25"/>
  <c r="F21" i="25"/>
  <c r="J20" i="25"/>
  <c r="H19" i="25"/>
  <c r="N18" i="25"/>
  <c r="H18" i="25"/>
  <c r="N17" i="25"/>
  <c r="H17" i="25"/>
  <c r="N16" i="25"/>
  <c r="H16" i="25"/>
  <c r="N15" i="25"/>
  <c r="H15" i="25"/>
  <c r="N14" i="25"/>
  <c r="H14" i="25"/>
  <c r="N13" i="25"/>
  <c r="H13" i="25"/>
  <c r="N12" i="25"/>
  <c r="H12" i="25"/>
  <c r="N11" i="25"/>
  <c r="H11" i="25"/>
  <c r="N10" i="25"/>
  <c r="H10" i="25"/>
  <c r="N9" i="25"/>
  <c r="H9" i="25"/>
  <c r="H87" i="25"/>
  <c r="F86" i="25"/>
  <c r="J85" i="25"/>
  <c r="J84" i="25"/>
  <c r="J83" i="25"/>
  <c r="J82" i="25"/>
  <c r="J81" i="25"/>
  <c r="J80" i="25"/>
  <c r="J79" i="25"/>
  <c r="J78" i="25"/>
  <c r="J77" i="25"/>
  <c r="J76" i="25"/>
  <c r="J75" i="25"/>
  <c r="H43" i="25"/>
  <c r="F42" i="25"/>
  <c r="J41" i="25"/>
  <c r="J40" i="25"/>
  <c r="J39" i="25"/>
  <c r="J38" i="25"/>
  <c r="J37" i="25"/>
  <c r="J36" i="25"/>
  <c r="J35" i="25"/>
  <c r="J34" i="25"/>
  <c r="J33" i="25"/>
  <c r="J32" i="25"/>
  <c r="J31" i="25"/>
  <c r="L213" i="24"/>
  <c r="G20" i="28"/>
  <c r="G132" i="27"/>
  <c r="G76" i="27"/>
  <c r="G20" i="27"/>
  <c r="J65" i="25"/>
  <c r="H64" i="25"/>
  <c r="F63" i="25"/>
  <c r="F62" i="25"/>
  <c r="F61" i="25"/>
  <c r="F60" i="25"/>
  <c r="F59" i="25"/>
  <c r="F58" i="25"/>
  <c r="F57" i="25"/>
  <c r="F56" i="25"/>
  <c r="F55" i="25"/>
  <c r="F54" i="25"/>
  <c r="F53" i="25"/>
  <c r="J21" i="25"/>
  <c r="H20" i="25"/>
  <c r="L19" i="25"/>
  <c r="F19" i="25"/>
  <c r="L18" i="25"/>
  <c r="F18" i="25"/>
  <c r="L17" i="25"/>
  <c r="F17" i="25"/>
  <c r="L16" i="25"/>
  <c r="F16" i="25"/>
  <c r="L15" i="25"/>
  <c r="F15" i="25"/>
  <c r="L14" i="25"/>
  <c r="F14" i="25"/>
  <c r="L13" i="25"/>
  <c r="F13" i="25"/>
  <c r="L12" i="25"/>
  <c r="F12" i="25"/>
  <c r="L11" i="25"/>
  <c r="F11" i="25"/>
  <c r="L10" i="25"/>
  <c r="F10" i="25"/>
  <c r="L9" i="25"/>
  <c r="F9" i="25"/>
  <c r="C146" i="26"/>
  <c r="F85" i="25"/>
  <c r="F82" i="25"/>
  <c r="F79" i="25"/>
  <c r="F76" i="25"/>
  <c r="H40" i="25"/>
  <c r="H37" i="25"/>
  <c r="H34" i="25"/>
  <c r="H31" i="25"/>
  <c r="L263" i="24"/>
  <c r="L260" i="24"/>
  <c r="L257" i="24"/>
  <c r="L240" i="24"/>
  <c r="J237" i="24"/>
  <c r="J234" i="24"/>
  <c r="H219" i="24"/>
  <c r="H212" i="24"/>
  <c r="N210" i="24"/>
  <c r="H209" i="24"/>
  <c r="N207" i="24"/>
  <c r="J219" i="24"/>
  <c r="J43" i="24"/>
  <c r="H42" i="24"/>
  <c r="L41" i="24"/>
  <c r="L40" i="24"/>
  <c r="L39" i="24"/>
  <c r="L38" i="24"/>
  <c r="L37" i="24"/>
  <c r="L36" i="24"/>
  <c r="L35" i="24"/>
  <c r="L34" i="24"/>
  <c r="L33" i="24"/>
  <c r="L32" i="24"/>
  <c r="L31" i="24"/>
  <c r="C118" i="26"/>
  <c r="H86" i="25"/>
  <c r="F83" i="25"/>
  <c r="F80" i="25"/>
  <c r="F77" i="25"/>
  <c r="F43" i="25"/>
  <c r="H41" i="25"/>
  <c r="H38" i="25"/>
  <c r="H35" i="25"/>
  <c r="H32" i="25"/>
  <c r="H266" i="24"/>
  <c r="L264" i="24"/>
  <c r="L261" i="24"/>
  <c r="L258" i="24"/>
  <c r="L255" i="24"/>
  <c r="J238" i="24"/>
  <c r="J235" i="24"/>
  <c r="N212" i="24"/>
  <c r="H211" i="24"/>
  <c r="N209" i="24"/>
  <c r="H208" i="24"/>
  <c r="H43" i="24"/>
  <c r="L42" i="24"/>
  <c r="J41" i="24"/>
  <c r="J40" i="24"/>
  <c r="J39" i="24"/>
  <c r="J38" i="24"/>
  <c r="J37" i="24"/>
  <c r="J36" i="24"/>
  <c r="J35" i="24"/>
  <c r="J34" i="24"/>
  <c r="J33" i="24"/>
  <c r="J32" i="24"/>
  <c r="J31" i="24"/>
  <c r="H84" i="25"/>
  <c r="H81" i="25"/>
  <c r="H78" i="25"/>
  <c r="H75" i="25"/>
  <c r="F41" i="25"/>
  <c r="F38" i="25"/>
  <c r="F35" i="25"/>
  <c r="F32" i="25"/>
  <c r="L267" i="24"/>
  <c r="H264" i="24"/>
  <c r="N262" i="24"/>
  <c r="H261" i="24"/>
  <c r="N259" i="24"/>
  <c r="H258" i="24"/>
  <c r="N256" i="24"/>
  <c r="H255" i="24"/>
  <c r="J241" i="24"/>
  <c r="L239" i="24"/>
  <c r="L236" i="24"/>
  <c r="L218" i="24"/>
  <c r="J217" i="24"/>
  <c r="J216" i="24"/>
  <c r="J215" i="24"/>
  <c r="J214" i="24"/>
  <c r="J213" i="24"/>
  <c r="L212" i="24"/>
  <c r="J210" i="24"/>
  <c r="L209" i="24"/>
  <c r="J207" i="24"/>
  <c r="H195" i="24"/>
  <c r="N194" i="24"/>
  <c r="H194" i="24"/>
  <c r="N193" i="24"/>
  <c r="H193" i="24"/>
  <c r="N192" i="24"/>
  <c r="H192" i="24"/>
  <c r="N191" i="24"/>
  <c r="H191" i="24"/>
  <c r="N190" i="24"/>
  <c r="H190" i="24"/>
  <c r="N189" i="24"/>
  <c r="H189" i="24"/>
  <c r="N188" i="24"/>
  <c r="H188" i="24"/>
  <c r="N187" i="24"/>
  <c r="H187" i="24"/>
  <c r="N186" i="24"/>
  <c r="H186" i="24"/>
  <c r="N185" i="24"/>
  <c r="H185" i="24"/>
  <c r="J175" i="24"/>
  <c r="H174" i="24"/>
  <c r="L173" i="24"/>
  <c r="L172" i="24"/>
  <c r="L171" i="24"/>
  <c r="L170" i="24"/>
  <c r="L169" i="24"/>
  <c r="L168" i="24"/>
  <c r="L167" i="24"/>
  <c r="L166" i="24"/>
  <c r="L165" i="24"/>
  <c r="L164" i="24"/>
  <c r="L163" i="24"/>
  <c r="H153" i="24"/>
  <c r="L152" i="24"/>
  <c r="J151" i="24"/>
  <c r="J150" i="24"/>
  <c r="E160" i="27"/>
  <c r="D48" i="26"/>
  <c r="D20" i="26"/>
  <c r="J87" i="25"/>
  <c r="F84" i="25"/>
  <c r="F81" i="25"/>
  <c r="F78" i="25"/>
  <c r="F75" i="25"/>
  <c r="J42" i="25"/>
  <c r="H39" i="25"/>
  <c r="H36" i="25"/>
  <c r="H33" i="25"/>
  <c r="J267" i="24"/>
  <c r="L265" i="24"/>
  <c r="L262" i="24"/>
  <c r="L259" i="24"/>
  <c r="L256" i="24"/>
  <c r="H241" i="24"/>
  <c r="J239" i="24"/>
  <c r="J236" i="24"/>
  <c r="L233" i="24"/>
  <c r="L232" i="24"/>
  <c r="L231" i="24"/>
  <c r="L230" i="24"/>
  <c r="L229" i="24"/>
  <c r="L219" i="24"/>
  <c r="J218" i="24"/>
  <c r="H217" i="24"/>
  <c r="H216" i="24"/>
  <c r="H215" i="24"/>
  <c r="H214" i="24"/>
  <c r="H213" i="24"/>
  <c r="N211" i="24"/>
  <c r="H210" i="24"/>
  <c r="N208" i="24"/>
  <c r="H207" i="24"/>
  <c r="L197" i="24"/>
  <c r="L196" i="24"/>
  <c r="L43" i="24"/>
  <c r="J42" i="24"/>
  <c r="H41" i="24"/>
  <c r="N40" i="24"/>
  <c r="H40" i="24"/>
  <c r="N39" i="24"/>
  <c r="H39" i="24"/>
  <c r="N38" i="24"/>
  <c r="F87" i="25"/>
  <c r="H85" i="25"/>
  <c r="H82" i="25"/>
  <c r="H79" i="25"/>
  <c r="H76" i="25"/>
  <c r="H42" i="25"/>
  <c r="F39" i="25"/>
  <c r="F36" i="25"/>
  <c r="F33" i="25"/>
  <c r="H265" i="24"/>
  <c r="N263" i="24"/>
  <c r="H262" i="24"/>
  <c r="N260" i="24"/>
  <c r="H259" i="24"/>
  <c r="N257" i="24"/>
  <c r="H256" i="24"/>
  <c r="L237" i="24"/>
  <c r="L234" i="24"/>
  <c r="J233" i="24"/>
  <c r="J232" i="24"/>
  <c r="N261" i="24"/>
  <c r="H240" i="24"/>
  <c r="N214" i="24"/>
  <c r="L207" i="24"/>
  <c r="J197" i="24"/>
  <c r="L193" i="24"/>
  <c r="L190" i="24"/>
  <c r="L187" i="24"/>
  <c r="H175" i="24"/>
  <c r="J173" i="24"/>
  <c r="J170" i="24"/>
  <c r="J167" i="24"/>
  <c r="J164" i="24"/>
  <c r="J153" i="24"/>
  <c r="L151" i="24"/>
  <c r="L129" i="24"/>
  <c r="L128" i="24"/>
  <c r="L127" i="24"/>
  <c r="L126" i="24"/>
  <c r="L125" i="24"/>
  <c r="L124" i="24"/>
  <c r="L123" i="24"/>
  <c r="L122" i="24"/>
  <c r="L121" i="24"/>
  <c r="L120" i="24"/>
  <c r="L119" i="24"/>
  <c r="J109" i="24"/>
  <c r="H108" i="24"/>
  <c r="J20" i="24"/>
  <c r="N18" i="24"/>
  <c r="H17" i="24"/>
  <c r="N15" i="24"/>
  <c r="H14" i="24"/>
  <c r="N12" i="24"/>
  <c r="H11" i="24"/>
  <c r="N9" i="24"/>
  <c r="C77" i="22"/>
  <c r="G63" i="22"/>
  <c r="C35" i="22"/>
  <c r="H80" i="25"/>
  <c r="F40" i="25"/>
  <c r="F31" i="25"/>
  <c r="H260" i="24"/>
  <c r="L238" i="24"/>
  <c r="J231" i="24"/>
  <c r="L211" i="24"/>
  <c r="J209" i="24"/>
  <c r="J193" i="24"/>
  <c r="J190" i="24"/>
  <c r="J187" i="24"/>
  <c r="H173" i="24"/>
  <c r="N171" i="24"/>
  <c r="H170" i="24"/>
  <c r="N168" i="24"/>
  <c r="H167" i="24"/>
  <c r="N165" i="24"/>
  <c r="H164" i="24"/>
  <c r="H151" i="24"/>
  <c r="L130" i="24"/>
  <c r="J129" i="24"/>
  <c r="J128" i="24"/>
  <c r="J127" i="24"/>
  <c r="J126" i="24"/>
  <c r="J125" i="24"/>
  <c r="J124" i="24"/>
  <c r="J123" i="24"/>
  <c r="J122" i="24"/>
  <c r="J121" i="24"/>
  <c r="J120" i="24"/>
  <c r="J119" i="24"/>
  <c r="H109" i="24"/>
  <c r="H37" i="24"/>
  <c r="N35" i="24"/>
  <c r="H34" i="24"/>
  <c r="N32" i="24"/>
  <c r="H31" i="24"/>
  <c r="H21" i="24"/>
  <c r="H20" i="24"/>
  <c r="J19" i="24"/>
  <c r="L18" i="24"/>
  <c r="J16" i="24"/>
  <c r="L15" i="24"/>
  <c r="J13" i="24"/>
  <c r="L12" i="24"/>
  <c r="J10" i="24"/>
  <c r="L9" i="24"/>
  <c r="N258" i="24"/>
  <c r="N216" i="24"/>
  <c r="N213" i="24"/>
  <c r="J211" i="24"/>
  <c r="L194" i="24"/>
  <c r="L191" i="24"/>
  <c r="L188" i="24"/>
  <c r="L185" i="24"/>
  <c r="L174" i="24"/>
  <c r="J171" i="24"/>
  <c r="J168" i="24"/>
  <c r="J165" i="24"/>
  <c r="N149" i="24"/>
  <c r="N148" i="24"/>
  <c r="N147" i="24"/>
  <c r="N146" i="24"/>
  <c r="N145" i="24"/>
  <c r="N144" i="24"/>
  <c r="N143" i="24"/>
  <c r="N142" i="24"/>
  <c r="N141" i="24"/>
  <c r="L131" i="24"/>
  <c r="J130" i="24"/>
  <c r="H129" i="24"/>
  <c r="H128" i="24"/>
  <c r="H127" i="24"/>
  <c r="H126" i="24"/>
  <c r="H125" i="24"/>
  <c r="H124" i="24"/>
  <c r="H123" i="24"/>
  <c r="H122" i="24"/>
  <c r="H121" i="24"/>
  <c r="H120" i="24"/>
  <c r="H119" i="24"/>
  <c r="N106" i="24"/>
  <c r="N105" i="24"/>
  <c r="N104" i="24"/>
  <c r="N103" i="24"/>
  <c r="N102" i="24"/>
  <c r="N101" i="24"/>
  <c r="N100" i="24"/>
  <c r="N99" i="24"/>
  <c r="N98" i="24"/>
  <c r="N97" i="24"/>
  <c r="H19" i="24"/>
  <c r="N17" i="24"/>
  <c r="H16" i="24"/>
  <c r="N14" i="24"/>
  <c r="H13" i="24"/>
  <c r="N11" i="24"/>
  <c r="H10" i="24"/>
  <c r="J86" i="25"/>
  <c r="H77" i="25"/>
  <c r="F37" i="25"/>
  <c r="J266" i="24"/>
  <c r="H257" i="24"/>
  <c r="L235" i="24"/>
  <c r="J230" i="24"/>
  <c r="L208" i="24"/>
  <c r="H196" i="24"/>
  <c r="J194" i="24"/>
  <c r="J191" i="24"/>
  <c r="J188" i="24"/>
  <c r="J185" i="24"/>
  <c r="J174" i="24"/>
  <c r="N172" i="24"/>
  <c r="H171" i="24"/>
  <c r="N169" i="24"/>
  <c r="H168" i="24"/>
  <c r="N166" i="24"/>
  <c r="H165" i="24"/>
  <c r="N163" i="24"/>
  <c r="J152" i="24"/>
  <c r="N150" i="24"/>
  <c r="L149" i="24"/>
  <c r="L148" i="24"/>
  <c r="L147" i="24"/>
  <c r="L146" i="24"/>
  <c r="L145" i="24"/>
  <c r="L144" i="24"/>
  <c r="L143" i="24"/>
  <c r="L142" i="24"/>
  <c r="L141" i="24"/>
  <c r="J131" i="24"/>
  <c r="H130" i="24"/>
  <c r="L107" i="24"/>
  <c r="L106" i="24"/>
  <c r="L105" i="24"/>
  <c r="L104" i="24"/>
  <c r="L103" i="24"/>
  <c r="L102" i="24"/>
  <c r="L101" i="24"/>
  <c r="L100" i="24"/>
  <c r="L99" i="24"/>
  <c r="L98" i="24"/>
  <c r="L97" i="24"/>
  <c r="N37" i="24"/>
  <c r="H36" i="24"/>
  <c r="N34" i="24"/>
  <c r="H33" i="24"/>
  <c r="N31" i="24"/>
  <c r="J18" i="24"/>
  <c r="L17" i="24"/>
  <c r="J15" i="24"/>
  <c r="L14" i="24"/>
  <c r="J12" i="24"/>
  <c r="L11" i="24"/>
  <c r="J9" i="24"/>
  <c r="D76" i="26"/>
  <c r="N215" i="24"/>
  <c r="J208" i="24"/>
  <c r="J189" i="24"/>
  <c r="H169" i="24"/>
  <c r="N164" i="24"/>
  <c r="H148" i="24"/>
  <c r="H145" i="24"/>
  <c r="H142" i="24"/>
  <c r="N127" i="24"/>
  <c r="N124" i="24"/>
  <c r="N121" i="24"/>
  <c r="J108" i="24"/>
  <c r="H105" i="24"/>
  <c r="H102" i="24"/>
  <c r="H99" i="24"/>
  <c r="L20" i="24"/>
  <c r="L13" i="24"/>
  <c r="J11" i="24"/>
  <c r="D77" i="22"/>
  <c r="H63" i="22"/>
  <c r="F36" i="21"/>
  <c r="N264" i="24"/>
  <c r="L192" i="24"/>
  <c r="J172" i="24"/>
  <c r="J163" i="24"/>
  <c r="L150" i="24"/>
  <c r="J147" i="24"/>
  <c r="J144" i="24"/>
  <c r="J141" i="24"/>
  <c r="J107" i="24"/>
  <c r="J104" i="24"/>
  <c r="J101" i="24"/>
  <c r="J98" i="24"/>
  <c r="H35" i="24"/>
  <c r="H15" i="24"/>
  <c r="N10" i="24"/>
  <c r="C63" i="22"/>
  <c r="G49" i="22"/>
  <c r="F21" i="22"/>
  <c r="H83" i="25"/>
  <c r="H263" i="24"/>
  <c r="J229" i="24"/>
  <c r="J192" i="24"/>
  <c r="H172" i="24"/>
  <c r="N167" i="24"/>
  <c r="H163" i="24"/>
  <c r="H150" i="24"/>
  <c r="H147" i="24"/>
  <c r="H144" i="24"/>
  <c r="H141" i="24"/>
  <c r="N126" i="24"/>
  <c r="N123" i="24"/>
  <c r="N120" i="24"/>
  <c r="H107" i="24"/>
  <c r="H104" i="24"/>
  <c r="H101" i="24"/>
  <c r="H98" i="24"/>
  <c r="L19" i="24"/>
  <c r="J17" i="24"/>
  <c r="L10" i="24"/>
  <c r="D119" i="22"/>
  <c r="H105" i="22"/>
  <c r="F148" i="21"/>
  <c r="F50" i="21"/>
  <c r="J43" i="25"/>
  <c r="N255" i="24"/>
  <c r="J212" i="24"/>
  <c r="L195" i="24"/>
  <c r="L186" i="24"/>
  <c r="J166" i="24"/>
  <c r="J149" i="24"/>
  <c r="J146" i="24"/>
  <c r="J143" i="24"/>
  <c r="J106" i="24"/>
  <c r="J103" i="24"/>
  <c r="J100" i="24"/>
  <c r="J97" i="24"/>
  <c r="N36" i="24"/>
  <c r="H32" i="24"/>
  <c r="L21" i="24"/>
  <c r="N16" i="24"/>
  <c r="H12" i="24"/>
  <c r="C105" i="22"/>
  <c r="G91" i="22"/>
  <c r="F120" i="21"/>
  <c r="J195" i="24"/>
  <c r="H146" i="24"/>
  <c r="N128" i="24"/>
  <c r="N119" i="24"/>
  <c r="L108" i="24"/>
  <c r="J99" i="24"/>
  <c r="H38" i="24"/>
  <c r="H18" i="24"/>
  <c r="C147" i="22"/>
  <c r="E77" i="22"/>
  <c r="E21" i="22"/>
  <c r="L175" i="24"/>
  <c r="J145" i="24"/>
  <c r="H106" i="24"/>
  <c r="H97" i="24"/>
  <c r="L16" i="24"/>
  <c r="D35" i="22"/>
  <c r="F64" i="21"/>
  <c r="L153" i="24"/>
  <c r="H143" i="24"/>
  <c r="N125" i="24"/>
  <c r="J105" i="24"/>
  <c r="H9" i="24"/>
  <c r="G133" i="22"/>
  <c r="E64" i="21"/>
  <c r="L210" i="24"/>
  <c r="L189" i="24"/>
  <c r="N170" i="24"/>
  <c r="H152" i="24"/>
  <c r="J142" i="24"/>
  <c r="H103" i="24"/>
  <c r="J21" i="24"/>
  <c r="J14" i="24"/>
  <c r="D161" i="22"/>
  <c r="F91" i="22"/>
  <c r="F22" i="21"/>
  <c r="J148" i="24"/>
  <c r="T21" i="22"/>
  <c r="L109" i="24"/>
  <c r="N33" i="24"/>
  <c r="N13" i="24"/>
  <c r="F134" i="21"/>
  <c r="F34" i="25"/>
  <c r="J169" i="24"/>
  <c r="H131" i="24"/>
  <c r="J102" i="24"/>
  <c r="H147" i="22"/>
  <c r="H166" i="24"/>
  <c r="N122" i="24"/>
  <c r="H100" i="24"/>
  <c r="E22" i="21"/>
  <c r="N91" i="19"/>
  <c r="U132" i="18"/>
  <c r="K106" i="18"/>
  <c r="O78" i="18"/>
  <c r="D62" i="18"/>
  <c r="U8" i="18"/>
  <c r="C8" i="18"/>
  <c r="E163" i="14"/>
  <c r="G149" i="14"/>
  <c r="E121" i="14"/>
  <c r="G107" i="14"/>
  <c r="E79" i="14"/>
  <c r="G65" i="14"/>
  <c r="E37" i="14"/>
  <c r="D23" i="14"/>
  <c r="D112" i="11"/>
  <c r="D109" i="11"/>
  <c r="D106" i="11"/>
  <c r="D103" i="11"/>
  <c r="D100" i="11"/>
  <c r="D89" i="11"/>
  <c r="D86" i="11"/>
  <c r="D83" i="11"/>
  <c r="D80" i="11"/>
  <c r="D77" i="11"/>
  <c r="T104" i="18"/>
  <c r="N50" i="18"/>
  <c r="E20" i="18"/>
  <c r="T8" i="18"/>
  <c r="E161" i="17"/>
  <c r="E135" i="17"/>
  <c r="E133" i="17"/>
  <c r="E107" i="17"/>
  <c r="E105" i="17"/>
  <c r="E79" i="17"/>
  <c r="E77" i="17"/>
  <c r="E51" i="17"/>
  <c r="E49" i="17"/>
  <c r="E23" i="17"/>
  <c r="C63" i="15"/>
  <c r="C21" i="15"/>
  <c r="D163" i="14"/>
  <c r="F149" i="14"/>
  <c r="D121" i="14"/>
  <c r="F107" i="14"/>
  <c r="D79" i="14"/>
  <c r="F65" i="14"/>
  <c r="D37" i="14"/>
  <c r="D65" i="11"/>
  <c r="D62" i="11"/>
  <c r="D59" i="11"/>
  <c r="D56" i="11"/>
  <c r="D42" i="11"/>
  <c r="D39" i="11"/>
  <c r="D36" i="11"/>
  <c r="D33" i="11"/>
  <c r="D19" i="11"/>
  <c r="D16" i="11"/>
  <c r="D13" i="11"/>
  <c r="D10" i="11"/>
  <c r="N77" i="10"/>
  <c r="N76" i="10"/>
  <c r="N36" i="10"/>
  <c r="N35" i="10"/>
  <c r="N34" i="10"/>
  <c r="N33" i="10"/>
  <c r="N32" i="10"/>
  <c r="N31" i="10"/>
  <c r="H149" i="24"/>
  <c r="N148" i="18"/>
  <c r="C132" i="18"/>
  <c r="V92" i="18"/>
  <c r="K76" i="18"/>
  <c r="K36" i="18"/>
  <c r="V22" i="18"/>
  <c r="D22" i="18"/>
  <c r="O8" i="18"/>
  <c r="D161" i="17"/>
  <c r="D135" i="17"/>
  <c r="D133" i="17"/>
  <c r="D107" i="17"/>
  <c r="D105" i="17"/>
  <c r="D79" i="17"/>
  <c r="D77" i="17"/>
  <c r="D51" i="17"/>
  <c r="D49" i="17"/>
  <c r="D23" i="17"/>
  <c r="C91" i="16"/>
  <c r="F79" i="16"/>
  <c r="F77" i="16"/>
  <c r="C65" i="16"/>
  <c r="C63" i="16"/>
  <c r="F51" i="16"/>
  <c r="F49" i="16"/>
  <c r="C37" i="16"/>
  <c r="C35" i="16"/>
  <c r="F23" i="16"/>
  <c r="R21" i="16"/>
  <c r="C21" i="16"/>
  <c r="R9" i="16"/>
  <c r="C9" i="16"/>
  <c r="C161" i="15"/>
  <c r="F119" i="15"/>
  <c r="C77" i="15"/>
  <c r="F35" i="15"/>
  <c r="E149" i="14"/>
  <c r="G135" i="14"/>
  <c r="E107" i="14"/>
  <c r="G93" i="14"/>
  <c r="E65" i="14"/>
  <c r="G51" i="14"/>
  <c r="E160" i="13"/>
  <c r="E132" i="13"/>
  <c r="E104" i="13"/>
  <c r="E76" i="13"/>
  <c r="U64" i="18"/>
  <c r="U22" i="18"/>
  <c r="C22" i="18"/>
  <c r="N8" i="18"/>
  <c r="D149" i="14"/>
  <c r="F135" i="14"/>
  <c r="D107" i="14"/>
  <c r="F93" i="14"/>
  <c r="D65" i="14"/>
  <c r="F51" i="14"/>
  <c r="G23" i="14"/>
  <c r="D67" i="11"/>
  <c r="D64" i="11"/>
  <c r="D61" i="11"/>
  <c r="D58" i="11"/>
  <c r="D55" i="11"/>
  <c r="D44" i="11"/>
  <c r="D41" i="11"/>
  <c r="D38" i="11"/>
  <c r="D35" i="11"/>
  <c r="D32" i="11"/>
  <c r="D21" i="11"/>
  <c r="D18" i="11"/>
  <c r="D15" i="11"/>
  <c r="D12" i="11"/>
  <c r="D9" i="11"/>
  <c r="T134" i="18"/>
  <c r="M90" i="18"/>
  <c r="D36" i="18"/>
  <c r="O148" i="18"/>
  <c r="C79" i="16"/>
  <c r="C77" i="16"/>
  <c r="C51" i="16"/>
  <c r="C49" i="16"/>
  <c r="C23" i="16"/>
  <c r="O21" i="16"/>
  <c r="O9" i="16"/>
  <c r="G77" i="15"/>
  <c r="F63" i="15"/>
  <c r="F163" i="14"/>
  <c r="D93" i="14"/>
  <c r="F37" i="14"/>
  <c r="N23" i="14"/>
  <c r="E20" i="13"/>
  <c r="A13" i="12"/>
  <c r="U12" i="12"/>
  <c r="F56" i="12"/>
  <c r="F53" i="12"/>
  <c r="U8" i="12"/>
  <c r="D108" i="11"/>
  <c r="D102" i="11"/>
  <c r="D63" i="11"/>
  <c r="D57" i="11"/>
  <c r="Q20" i="9"/>
  <c r="K20" i="9"/>
  <c r="E20" i="9"/>
  <c r="Q18" i="9"/>
  <c r="K18" i="9"/>
  <c r="E18" i="9"/>
  <c r="Q16" i="9"/>
  <c r="K16" i="9"/>
  <c r="E16" i="9"/>
  <c r="Q14" i="9"/>
  <c r="K14" i="9"/>
  <c r="E14" i="9"/>
  <c r="Q12" i="9"/>
  <c r="K12" i="9"/>
  <c r="E12" i="9"/>
  <c r="Q10" i="9"/>
  <c r="K10" i="9"/>
  <c r="E10" i="9"/>
  <c r="J21" i="8"/>
  <c r="H20" i="8"/>
  <c r="L19" i="8"/>
  <c r="L18" i="8"/>
  <c r="L17" i="8"/>
  <c r="L16" i="8"/>
  <c r="L15" i="8"/>
  <c r="L14" i="8"/>
  <c r="L13" i="8"/>
  <c r="L12" i="8"/>
  <c r="L11" i="8"/>
  <c r="L10" i="8"/>
  <c r="L9" i="8"/>
  <c r="N118" i="18"/>
  <c r="F106" i="18"/>
  <c r="G121" i="17"/>
  <c r="G91" i="17"/>
  <c r="G37" i="17"/>
  <c r="G91" i="15"/>
  <c r="F77" i="15"/>
  <c r="C35" i="15"/>
  <c r="G121" i="14"/>
  <c r="E51" i="14"/>
  <c r="F23" i="14"/>
  <c r="U9" i="12"/>
  <c r="D56" i="12"/>
  <c r="U6" i="12"/>
  <c r="D53" i="12"/>
  <c r="D113" i="11"/>
  <c r="D107" i="11"/>
  <c r="D101" i="11"/>
  <c r="D88" i="11"/>
  <c r="D82" i="11"/>
  <c r="D43" i="11"/>
  <c r="D37" i="11"/>
  <c r="D31" i="11"/>
  <c r="L108" i="10"/>
  <c r="N62" i="10"/>
  <c r="N61" i="10"/>
  <c r="N60" i="10"/>
  <c r="N59" i="10"/>
  <c r="N58" i="10"/>
  <c r="N57" i="10"/>
  <c r="N56" i="10"/>
  <c r="N55" i="10"/>
  <c r="N54" i="10"/>
  <c r="N53" i="10"/>
  <c r="N17" i="10"/>
  <c r="N14" i="10"/>
  <c r="N11" i="10"/>
  <c r="M21" i="9"/>
  <c r="G21" i="9"/>
  <c r="M19" i="9"/>
  <c r="G19" i="9"/>
  <c r="M17" i="9"/>
  <c r="G17" i="9"/>
  <c r="M15" i="9"/>
  <c r="G15" i="9"/>
  <c r="M13" i="9"/>
  <c r="G13" i="9"/>
  <c r="M11" i="9"/>
  <c r="G11" i="9"/>
  <c r="M9" i="9"/>
  <c r="G9" i="9"/>
  <c r="L43" i="8"/>
  <c r="J42" i="8"/>
  <c r="H41" i="8"/>
  <c r="N40" i="8"/>
  <c r="H40" i="8"/>
  <c r="N39" i="8"/>
  <c r="H39" i="8"/>
  <c r="N38" i="8"/>
  <c r="H38" i="8"/>
  <c r="N37" i="8"/>
  <c r="H37" i="8"/>
  <c r="N36" i="8"/>
  <c r="H36" i="8"/>
  <c r="N35" i="8"/>
  <c r="H35" i="8"/>
  <c r="N34" i="8"/>
  <c r="H34" i="8"/>
  <c r="N33" i="8"/>
  <c r="H33" i="8"/>
  <c r="N32" i="8"/>
  <c r="H32" i="8"/>
  <c r="N31" i="8"/>
  <c r="H31" i="8"/>
  <c r="N121" i="19"/>
  <c r="C64" i="18"/>
  <c r="O22" i="18"/>
  <c r="F91" i="16"/>
  <c r="F65" i="16"/>
  <c r="F63" i="16"/>
  <c r="F37" i="16"/>
  <c r="F35" i="16"/>
  <c r="F21" i="16"/>
  <c r="F9" i="16"/>
  <c r="G161" i="15"/>
  <c r="F147" i="15"/>
  <c r="C105" i="15"/>
  <c r="F21" i="15"/>
  <c r="F121" i="14"/>
  <c r="D51" i="14"/>
  <c r="E23" i="14"/>
  <c r="A14" i="12"/>
  <c r="U13" i="12"/>
  <c r="C56" i="12"/>
  <c r="G54" i="12"/>
  <c r="C53" i="12"/>
  <c r="D87" i="11"/>
  <c r="D81" i="11"/>
  <c r="D17" i="11"/>
  <c r="D11" i="11"/>
  <c r="O20" i="9"/>
  <c r="I20" i="9"/>
  <c r="O18" i="9"/>
  <c r="I18" i="9"/>
  <c r="O16" i="9"/>
  <c r="I16" i="9"/>
  <c r="O14" i="9"/>
  <c r="I14" i="9"/>
  <c r="O12" i="9"/>
  <c r="I12" i="9"/>
  <c r="O10" i="9"/>
  <c r="I10" i="9"/>
  <c r="H21" i="8"/>
  <c r="L20" i="8"/>
  <c r="J19" i="8"/>
  <c r="J18" i="8"/>
  <c r="J17" i="8"/>
  <c r="J16" i="8"/>
  <c r="J15" i="8"/>
  <c r="J14" i="8"/>
  <c r="J13" i="8"/>
  <c r="J12" i="8"/>
  <c r="J11" i="8"/>
  <c r="J10" i="8"/>
  <c r="J9" i="8"/>
  <c r="D92" i="18"/>
  <c r="V62" i="18"/>
  <c r="L20" i="18"/>
  <c r="G147" i="17"/>
  <c r="G93" i="17"/>
  <c r="G63" i="17"/>
  <c r="G21" i="17"/>
  <c r="G9" i="17"/>
  <c r="F161" i="15"/>
  <c r="C119" i="15"/>
  <c r="E135" i="14"/>
  <c r="G79" i="14"/>
  <c r="E146" i="13"/>
  <c r="E118" i="13"/>
  <c r="E90" i="13"/>
  <c r="E62" i="13"/>
  <c r="E34" i="13"/>
  <c r="A15" i="12"/>
  <c r="U14" i="12"/>
  <c r="A11" i="12"/>
  <c r="U10" i="12"/>
  <c r="U7" i="12"/>
  <c r="D54" i="12"/>
  <c r="D111" i="11"/>
  <c r="D105" i="11"/>
  <c r="D66" i="11"/>
  <c r="D60" i="11"/>
  <c r="D54" i="11"/>
  <c r="L64" i="10"/>
  <c r="L21" i="10"/>
  <c r="N16" i="10"/>
  <c r="N13" i="10"/>
  <c r="N10" i="10"/>
  <c r="J21" i="10"/>
  <c r="K21" i="9"/>
  <c r="E21" i="9"/>
  <c r="Q19" i="9"/>
  <c r="K19" i="9"/>
  <c r="E19" i="9"/>
  <c r="Q17" i="9"/>
  <c r="K17" i="9"/>
  <c r="E17" i="9"/>
  <c r="Q15" i="9"/>
  <c r="K15" i="9"/>
  <c r="E15" i="9"/>
  <c r="Q13" i="9"/>
  <c r="K13" i="9"/>
  <c r="E13" i="9"/>
  <c r="Q11" i="9"/>
  <c r="K11" i="9"/>
  <c r="E11" i="9"/>
  <c r="Q9" i="9"/>
  <c r="K9" i="9"/>
  <c r="E9" i="9"/>
  <c r="J43" i="8"/>
  <c r="H42" i="8"/>
  <c r="L41" i="8"/>
  <c r="L40" i="8"/>
  <c r="L39" i="8"/>
  <c r="L38" i="8"/>
  <c r="L37" i="8"/>
  <c r="L36" i="8"/>
  <c r="L35" i="8"/>
  <c r="L34" i="8"/>
  <c r="L33" i="8"/>
  <c r="L32" i="8"/>
  <c r="L31" i="8"/>
  <c r="S34" i="18"/>
  <c r="F79" i="14"/>
  <c r="U51" i="12"/>
  <c r="U42" i="12"/>
  <c r="U33" i="12"/>
  <c r="U24" i="12"/>
  <c r="U15" i="12"/>
  <c r="A12" i="12"/>
  <c r="D85" i="11"/>
  <c r="D34" i="11"/>
  <c r="D14" i="11"/>
  <c r="L42" i="10"/>
  <c r="J39" i="10"/>
  <c r="J36" i="10"/>
  <c r="J33" i="10"/>
  <c r="J20" i="10"/>
  <c r="N15" i="10"/>
  <c r="I21" i="9"/>
  <c r="O17" i="9"/>
  <c r="I15" i="9"/>
  <c r="O11" i="9"/>
  <c r="I9" i="9"/>
  <c r="N238" i="8"/>
  <c r="N235" i="8"/>
  <c r="N232" i="8"/>
  <c r="N229" i="8"/>
  <c r="N171" i="8"/>
  <c r="N168" i="8"/>
  <c r="N165" i="8"/>
  <c r="N104" i="8"/>
  <c r="N101" i="8"/>
  <c r="N98" i="8"/>
  <c r="J40" i="8"/>
  <c r="J37" i="8"/>
  <c r="J34" i="8"/>
  <c r="J31" i="8"/>
  <c r="J20" i="8"/>
  <c r="N18" i="8"/>
  <c r="H17" i="8"/>
  <c r="N15" i="8"/>
  <c r="H14" i="8"/>
  <c r="N12" i="8"/>
  <c r="H11" i="8"/>
  <c r="N9" i="8"/>
  <c r="N260" i="8"/>
  <c r="U48" i="12"/>
  <c r="U39" i="12"/>
  <c r="U30" i="12"/>
  <c r="J40" i="10"/>
  <c r="J31" i="10"/>
  <c r="I19" i="9"/>
  <c r="O9" i="9"/>
  <c r="N237" i="8"/>
  <c r="L175" i="8"/>
  <c r="N103" i="8"/>
  <c r="L42" i="8"/>
  <c r="N17" i="8"/>
  <c r="N11" i="8"/>
  <c r="G65" i="17"/>
  <c r="D49" i="16"/>
  <c r="D110" i="11"/>
  <c r="M16" i="9"/>
  <c r="M10" i="9"/>
  <c r="J257" i="8"/>
  <c r="L217" i="8"/>
  <c r="L208" i="8"/>
  <c r="J187" i="8"/>
  <c r="L144" i="8"/>
  <c r="J126" i="8"/>
  <c r="D51" i="16"/>
  <c r="U21" i="15"/>
  <c r="E93" i="14"/>
  <c r="F20" i="13"/>
  <c r="F55" i="12"/>
  <c r="D104" i="11"/>
  <c r="D84" i="11"/>
  <c r="N104" i="10"/>
  <c r="N101" i="10"/>
  <c r="N98" i="10"/>
  <c r="J17" i="10"/>
  <c r="M18" i="9"/>
  <c r="G16" i="9"/>
  <c r="M12" i="9"/>
  <c r="G10" i="9"/>
  <c r="E36" i="18"/>
  <c r="J34" i="10"/>
  <c r="H14" i="10"/>
  <c r="O21" i="9"/>
  <c r="N234" i="8"/>
  <c r="N167" i="8"/>
  <c r="J108" i="8"/>
  <c r="N97" i="8"/>
  <c r="J39" i="8"/>
  <c r="H19" i="8"/>
  <c r="H13" i="8"/>
  <c r="K20" i="18"/>
  <c r="D79" i="16"/>
  <c r="N102" i="10"/>
  <c r="L20" i="10"/>
  <c r="L275" i="8"/>
  <c r="J260" i="8"/>
  <c r="J251" i="8"/>
  <c r="L211" i="8"/>
  <c r="L141" i="8"/>
  <c r="J120" i="8"/>
  <c r="G18" i="2"/>
  <c r="G133" i="16"/>
  <c r="D135" i="14"/>
  <c r="E48" i="13"/>
  <c r="U54" i="12"/>
  <c r="U45" i="12"/>
  <c r="U36" i="12"/>
  <c r="U27" i="12"/>
  <c r="U18" i="12"/>
  <c r="U11" i="12"/>
  <c r="E55" i="12"/>
  <c r="D79" i="11"/>
  <c r="D8" i="11"/>
  <c r="J41" i="10"/>
  <c r="J38" i="10"/>
  <c r="J35" i="10"/>
  <c r="J32" i="10"/>
  <c r="N12" i="10"/>
  <c r="O19" i="9"/>
  <c r="I17" i="9"/>
  <c r="O13" i="9"/>
  <c r="I11" i="9"/>
  <c r="N236" i="8"/>
  <c r="N233" i="8"/>
  <c r="N230" i="8"/>
  <c r="N172" i="8"/>
  <c r="N169" i="8"/>
  <c r="N166" i="8"/>
  <c r="N163" i="8"/>
  <c r="N105" i="8"/>
  <c r="N102" i="8"/>
  <c r="N99" i="8"/>
  <c r="H43" i="8"/>
  <c r="J41" i="8"/>
  <c r="J38" i="8"/>
  <c r="J35" i="8"/>
  <c r="J32" i="8"/>
  <c r="L21" i="8"/>
  <c r="H18" i="8"/>
  <c r="N16" i="8"/>
  <c r="H15" i="8"/>
  <c r="N13" i="8"/>
  <c r="H12" i="8"/>
  <c r="N10" i="8"/>
  <c r="H9" i="8"/>
  <c r="U57" i="12"/>
  <c r="D40" i="11"/>
  <c r="J37" i="10"/>
  <c r="N9" i="10"/>
  <c r="O15" i="9"/>
  <c r="N231" i="8"/>
  <c r="N170" i="8"/>
  <c r="N100" i="8"/>
  <c r="L65" i="8"/>
  <c r="J36" i="8"/>
  <c r="H16" i="8"/>
  <c r="H10" i="8"/>
  <c r="E146" i="18"/>
  <c r="G35" i="17"/>
  <c r="G37" i="14"/>
  <c r="N105" i="10"/>
  <c r="L65" i="10"/>
  <c r="J11" i="10"/>
  <c r="L281" i="8"/>
  <c r="J219" i="8"/>
  <c r="J193" i="8"/>
  <c r="L147" i="8"/>
  <c r="J123" i="8"/>
  <c r="V36" i="18"/>
  <c r="G149" i="17"/>
  <c r="G119" i="17"/>
  <c r="D77" i="16"/>
  <c r="D23" i="16"/>
  <c r="G163" i="14"/>
  <c r="C149" i="14"/>
  <c r="C48" i="13"/>
  <c r="D55" i="12"/>
  <c r="D78" i="11"/>
  <c r="N106" i="10"/>
  <c r="N103" i="10"/>
  <c r="N100" i="10"/>
  <c r="N97" i="10"/>
  <c r="J14" i="10"/>
  <c r="M20" i="9"/>
  <c r="G18" i="9"/>
  <c r="M14" i="9"/>
  <c r="G12" i="9"/>
  <c r="U21" i="12"/>
  <c r="D20" i="11"/>
  <c r="N18" i="10"/>
  <c r="I13" i="9"/>
  <c r="N164" i="8"/>
  <c r="N106" i="8"/>
  <c r="J33" i="8"/>
  <c r="N14" i="8"/>
  <c r="J186" i="24"/>
  <c r="O23" i="14"/>
  <c r="D90" i="11"/>
  <c r="N99" i="10"/>
  <c r="G20" i="9"/>
  <c r="G14" i="9"/>
  <c r="L278" i="8"/>
  <c r="J254" i="8"/>
  <c r="L214" i="8"/>
  <c r="L196" i="8"/>
  <c r="J190" i="8"/>
  <c r="L150" i="8"/>
  <c r="J129" i="8"/>
  <c r="L241" i="8"/>
  <c r="J285" i="8"/>
  <c r="D57" i="12" l="1"/>
  <c r="L254" i="30"/>
  <c r="F255" i="30"/>
  <c r="L255" i="30"/>
  <c r="F256" i="30"/>
  <c r="L256" i="30"/>
  <c r="F257" i="30"/>
  <c r="L257" i="30"/>
  <c r="F258" i="30"/>
  <c r="L258" i="30"/>
  <c r="F259" i="30"/>
  <c r="L259" i="30"/>
  <c r="F260" i="30"/>
  <c r="L260" i="30"/>
  <c r="F261" i="30"/>
  <c r="L261" i="30"/>
  <c r="H262" i="30"/>
  <c r="F263" i="30"/>
  <c r="F273" i="30"/>
  <c r="H274" i="30"/>
  <c r="F276" i="30"/>
  <c r="H277" i="30"/>
  <c r="F279" i="30"/>
  <c r="H280" i="30"/>
  <c r="F282" i="30"/>
  <c r="H283" i="30"/>
  <c r="F284" i="30"/>
  <c r="J285" i="30"/>
  <c r="H10" i="31"/>
  <c r="J11" i="31"/>
  <c r="H13" i="31"/>
  <c r="J14" i="31"/>
  <c r="H16" i="31"/>
  <c r="J17" i="31"/>
  <c r="H19" i="31"/>
  <c r="F33" i="31"/>
  <c r="F36" i="31"/>
  <c r="F39" i="31"/>
  <c r="F43" i="31"/>
  <c r="F76" i="31"/>
  <c r="F79" i="31"/>
  <c r="F82" i="31"/>
  <c r="F85" i="31"/>
  <c r="H37" i="33"/>
  <c r="F56" i="33"/>
  <c r="F58" i="33"/>
  <c r="F60" i="33"/>
  <c r="V17" i="35"/>
  <c r="H11" i="35"/>
  <c r="AB16" i="35"/>
  <c r="F9" i="31"/>
  <c r="L9" i="31"/>
  <c r="F10" i="31"/>
  <c r="L10" i="31"/>
  <c r="F11" i="31"/>
  <c r="L11" i="31"/>
  <c r="F12" i="31"/>
  <c r="L12" i="31"/>
  <c r="F13" i="31"/>
  <c r="L13" i="31"/>
  <c r="F14" i="31"/>
  <c r="L14" i="31"/>
  <c r="F15" i="31"/>
  <c r="L15" i="31"/>
  <c r="F16" i="31"/>
  <c r="L16" i="31"/>
  <c r="F17" i="31"/>
  <c r="L17" i="31"/>
  <c r="F18" i="31"/>
  <c r="L18" i="31"/>
  <c r="F19" i="31"/>
  <c r="L19" i="31"/>
  <c r="H20" i="31"/>
  <c r="J21" i="31"/>
  <c r="L67" i="3"/>
  <c r="J67" i="3"/>
  <c r="K67" i="3"/>
  <c r="K19" i="2"/>
  <c r="J19" i="2"/>
  <c r="J50" i="2"/>
  <c r="L50" i="2"/>
  <c r="K50" i="2"/>
  <c r="S44" i="6"/>
  <c r="R44" i="6"/>
  <c r="Q44" i="6"/>
  <c r="J73" i="2"/>
  <c r="L73" i="2"/>
  <c r="K73" i="2"/>
  <c r="L183" i="3"/>
  <c r="I194" i="3"/>
  <c r="K183" i="3"/>
  <c r="J183" i="3"/>
  <c r="J34" i="2"/>
  <c r="L34" i="2"/>
  <c r="K34" i="2"/>
  <c r="E42" i="2"/>
  <c r="H69" i="2"/>
  <c r="K51" i="3"/>
  <c r="J51" i="3"/>
  <c r="J89" i="3"/>
  <c r="K89" i="3"/>
  <c r="L89" i="3"/>
  <c r="F121" i="3"/>
  <c r="F195" i="3"/>
  <c r="M10" i="5"/>
  <c r="L10" i="5"/>
  <c r="K10" i="5"/>
  <c r="J10" i="5"/>
  <c r="I10" i="5"/>
  <c r="L32" i="5"/>
  <c r="K32" i="5"/>
  <c r="J32" i="5"/>
  <c r="I32" i="5"/>
  <c r="M32" i="5"/>
  <c r="K42" i="6"/>
  <c r="J42" i="6"/>
  <c r="I42" i="6"/>
  <c r="K59" i="13"/>
  <c r="J59" i="13"/>
  <c r="I59" i="13"/>
  <c r="K85" i="13"/>
  <c r="J85" i="13"/>
  <c r="I85" i="13"/>
  <c r="K117" i="13"/>
  <c r="J117" i="13"/>
  <c r="I117" i="13"/>
  <c r="K137" i="13"/>
  <c r="J137" i="13"/>
  <c r="I137" i="13"/>
  <c r="H135" i="16"/>
  <c r="J136" i="16"/>
  <c r="I136" i="16"/>
  <c r="I69" i="2"/>
  <c r="L66" i="2"/>
  <c r="K66" i="2"/>
  <c r="J66" i="2"/>
  <c r="L22" i="3"/>
  <c r="K22" i="3"/>
  <c r="J22" i="3"/>
  <c r="L28" i="3"/>
  <c r="K28" i="3"/>
  <c r="J28" i="3"/>
  <c r="J62" i="3"/>
  <c r="L62" i="3"/>
  <c r="K62" i="3"/>
  <c r="G115" i="3"/>
  <c r="G186" i="3"/>
  <c r="L212" i="3"/>
  <c r="K212" i="3"/>
  <c r="J212" i="3"/>
  <c r="K23" i="6"/>
  <c r="J23" i="6"/>
  <c r="I23" i="6"/>
  <c r="J12" i="14"/>
  <c r="I12" i="14"/>
  <c r="I69" i="19"/>
  <c r="G77" i="19"/>
  <c r="H69" i="19"/>
  <c r="G188" i="3"/>
  <c r="G191" i="3"/>
  <c r="G194" i="3"/>
  <c r="V7" i="5"/>
  <c r="U7" i="5"/>
  <c r="T7" i="5"/>
  <c r="W7" i="5"/>
  <c r="S7" i="5"/>
  <c r="K36" i="6"/>
  <c r="J36" i="6"/>
  <c r="I36" i="6"/>
  <c r="K55" i="13"/>
  <c r="J55" i="13"/>
  <c r="I55" i="13"/>
  <c r="K61" i="13"/>
  <c r="J61" i="13"/>
  <c r="I61" i="13"/>
  <c r="K68" i="13"/>
  <c r="J68" i="13"/>
  <c r="H76" i="13"/>
  <c r="I68" i="13"/>
  <c r="K74" i="13"/>
  <c r="J74" i="13"/>
  <c r="I74" i="13"/>
  <c r="K81" i="13"/>
  <c r="J81" i="13"/>
  <c r="I81" i="13"/>
  <c r="K87" i="13"/>
  <c r="J87" i="13"/>
  <c r="I87" i="13"/>
  <c r="K94" i="13"/>
  <c r="J94" i="13"/>
  <c r="I94" i="13"/>
  <c r="K100" i="13"/>
  <c r="J100" i="13"/>
  <c r="I100" i="13"/>
  <c r="K107" i="13"/>
  <c r="J107" i="13"/>
  <c r="I107" i="13"/>
  <c r="K113" i="13"/>
  <c r="J113" i="13"/>
  <c r="I113" i="13"/>
  <c r="K120" i="13"/>
  <c r="J120" i="13"/>
  <c r="I120" i="13"/>
  <c r="K126" i="13"/>
  <c r="J126" i="13"/>
  <c r="I126" i="13"/>
  <c r="K139" i="13"/>
  <c r="J139" i="13"/>
  <c r="I139" i="13"/>
  <c r="K145" i="13"/>
  <c r="J145" i="13"/>
  <c r="I145" i="13"/>
  <c r="K152" i="13"/>
  <c r="J152" i="13"/>
  <c r="H160" i="13"/>
  <c r="I152" i="13"/>
  <c r="K158" i="13"/>
  <c r="J158" i="13"/>
  <c r="I158" i="13"/>
  <c r="T20" i="14"/>
  <c r="S20" i="14"/>
  <c r="T16" i="14"/>
  <c r="S16" i="14"/>
  <c r="L18" i="15"/>
  <c r="K18" i="15"/>
  <c r="J18" i="15"/>
  <c r="I18" i="15"/>
  <c r="M18" i="15"/>
  <c r="L57" i="15"/>
  <c r="K57" i="15"/>
  <c r="J57" i="15"/>
  <c r="I57" i="15"/>
  <c r="M57" i="15"/>
  <c r="L115" i="15"/>
  <c r="K115" i="15"/>
  <c r="J115" i="15"/>
  <c r="I115" i="15"/>
  <c r="M115" i="15"/>
  <c r="J159" i="16"/>
  <c r="I159" i="16"/>
  <c r="J103" i="16"/>
  <c r="I103" i="16"/>
  <c r="J123" i="16"/>
  <c r="I123" i="16"/>
  <c r="J142" i="16"/>
  <c r="I142" i="16"/>
  <c r="X99" i="18"/>
  <c r="Y142" i="19"/>
  <c r="X142" i="19"/>
  <c r="L8" i="2"/>
  <c r="J8" i="2"/>
  <c r="K8" i="2"/>
  <c r="L64" i="3"/>
  <c r="J64" i="3"/>
  <c r="K64" i="3"/>
  <c r="L72" i="3"/>
  <c r="J72" i="3"/>
  <c r="K72" i="3"/>
  <c r="F118" i="3"/>
  <c r="F186" i="3"/>
  <c r="L26" i="5"/>
  <c r="K26" i="5"/>
  <c r="J26" i="5"/>
  <c r="I26" i="5"/>
  <c r="M26" i="5"/>
  <c r="L44" i="5"/>
  <c r="K44" i="5"/>
  <c r="J44" i="5"/>
  <c r="I44" i="5"/>
  <c r="M44" i="5"/>
  <c r="L14" i="12"/>
  <c r="K14" i="12"/>
  <c r="I14" i="12"/>
  <c r="J14" i="12"/>
  <c r="K53" i="13"/>
  <c r="J53" i="13"/>
  <c r="I53" i="13"/>
  <c r="K79" i="13"/>
  <c r="J79" i="13"/>
  <c r="I79" i="13"/>
  <c r="K111" i="13"/>
  <c r="J111" i="13"/>
  <c r="I111" i="13"/>
  <c r="K124" i="13"/>
  <c r="J124" i="13"/>
  <c r="I124" i="13"/>
  <c r="H132" i="13"/>
  <c r="K150" i="13"/>
  <c r="J150" i="13"/>
  <c r="I150" i="13"/>
  <c r="L76" i="15"/>
  <c r="K76" i="15"/>
  <c r="J76" i="15"/>
  <c r="I76" i="15"/>
  <c r="M76" i="15"/>
  <c r="J97" i="16"/>
  <c r="I97" i="16"/>
  <c r="H105" i="16"/>
  <c r="Q157" i="18"/>
  <c r="Q46" i="18"/>
  <c r="L60" i="2"/>
  <c r="K60" i="2"/>
  <c r="J60" i="2"/>
  <c r="E68" i="2"/>
  <c r="L74" i="2"/>
  <c r="K74" i="2"/>
  <c r="J74" i="2"/>
  <c r="L7" i="3"/>
  <c r="K7" i="3"/>
  <c r="J7" i="3"/>
  <c r="L16" i="3"/>
  <c r="K16" i="3"/>
  <c r="J16" i="3"/>
  <c r="L31" i="3"/>
  <c r="K31" i="3"/>
  <c r="J31" i="3"/>
  <c r="G121" i="3"/>
  <c r="G192" i="3"/>
  <c r="L209" i="3"/>
  <c r="K209" i="3"/>
  <c r="J209" i="3"/>
  <c r="L215" i="3"/>
  <c r="K215" i="3"/>
  <c r="J215" i="3"/>
  <c r="S31" i="6"/>
  <c r="R31" i="6"/>
  <c r="Q31" i="6"/>
  <c r="K41" i="6"/>
  <c r="J41" i="6"/>
  <c r="I41" i="6"/>
  <c r="L25" i="12"/>
  <c r="J25" i="12"/>
  <c r="K25" i="12"/>
  <c r="I25" i="12"/>
  <c r="L34" i="12"/>
  <c r="J34" i="12"/>
  <c r="K34" i="12"/>
  <c r="I34" i="12"/>
  <c r="J44" i="14"/>
  <c r="I44" i="14"/>
  <c r="J102" i="14"/>
  <c r="I102" i="14"/>
  <c r="J160" i="14"/>
  <c r="I160" i="14"/>
  <c r="H188" i="3"/>
  <c r="H191" i="3"/>
  <c r="H194" i="3"/>
  <c r="W52" i="5"/>
  <c r="V52" i="5"/>
  <c r="U52" i="5"/>
  <c r="S52" i="5"/>
  <c r="T52" i="5"/>
  <c r="V9" i="5"/>
  <c r="U9" i="5"/>
  <c r="T9" i="5"/>
  <c r="S9" i="5"/>
  <c r="W9" i="5"/>
  <c r="V15" i="5"/>
  <c r="U15" i="5"/>
  <c r="T15" i="5"/>
  <c r="S15" i="5"/>
  <c r="W15" i="5"/>
  <c r="K16" i="6"/>
  <c r="J16" i="6"/>
  <c r="I16" i="6"/>
  <c r="K35" i="6"/>
  <c r="J35" i="6"/>
  <c r="I35" i="6"/>
  <c r="L22" i="12"/>
  <c r="J22" i="12"/>
  <c r="K22" i="12"/>
  <c r="I22" i="12"/>
  <c r="L31" i="12"/>
  <c r="J31" i="12"/>
  <c r="K31" i="12"/>
  <c r="I31" i="12"/>
  <c r="L40" i="12"/>
  <c r="J40" i="12"/>
  <c r="K40" i="12"/>
  <c r="I40" i="12"/>
  <c r="L49" i="12"/>
  <c r="J49" i="12"/>
  <c r="K49" i="12"/>
  <c r="I49" i="12"/>
  <c r="J25" i="14"/>
  <c r="I25" i="14"/>
  <c r="J54" i="14"/>
  <c r="I54" i="14"/>
  <c r="J83" i="14"/>
  <c r="I83" i="14"/>
  <c r="J112" i="14"/>
  <c r="I112" i="14"/>
  <c r="H149" i="14"/>
  <c r="J141" i="14"/>
  <c r="I141" i="14"/>
  <c r="M32" i="15"/>
  <c r="L32" i="15"/>
  <c r="K32" i="15"/>
  <c r="J32" i="15"/>
  <c r="I32" i="15"/>
  <c r="M90" i="15"/>
  <c r="L90" i="15"/>
  <c r="K90" i="15"/>
  <c r="J90" i="15"/>
  <c r="I90" i="15"/>
  <c r="M149" i="15"/>
  <c r="L149" i="15"/>
  <c r="K149" i="15"/>
  <c r="J149" i="15"/>
  <c r="I149" i="15"/>
  <c r="L11" i="2"/>
  <c r="J11" i="2"/>
  <c r="K11" i="2"/>
  <c r="L37" i="2"/>
  <c r="K37" i="2"/>
  <c r="J37" i="2"/>
  <c r="J45" i="3"/>
  <c r="K45" i="3"/>
  <c r="J58" i="3"/>
  <c r="K58" i="3"/>
  <c r="L63" i="3"/>
  <c r="J63" i="3"/>
  <c r="K63" i="3"/>
  <c r="F189" i="3"/>
  <c r="M16" i="5"/>
  <c r="L16" i="5"/>
  <c r="K16" i="5"/>
  <c r="J16" i="5"/>
  <c r="I16" i="5"/>
  <c r="L50" i="5"/>
  <c r="K50" i="5"/>
  <c r="J50" i="5"/>
  <c r="I50" i="5"/>
  <c r="M50" i="5"/>
  <c r="S13" i="6"/>
  <c r="R13" i="6"/>
  <c r="Q13" i="6"/>
  <c r="S32" i="6"/>
  <c r="R32" i="6"/>
  <c r="Q32" i="6"/>
  <c r="V8" i="12"/>
  <c r="S8" i="12"/>
  <c r="T8" i="12"/>
  <c r="K72" i="13"/>
  <c r="J72" i="13"/>
  <c r="I72" i="13"/>
  <c r="K98" i="13"/>
  <c r="J98" i="13"/>
  <c r="I98" i="13"/>
  <c r="K130" i="13"/>
  <c r="J130" i="13"/>
  <c r="I130" i="13"/>
  <c r="K156" i="13"/>
  <c r="J156" i="13"/>
  <c r="I156" i="13"/>
  <c r="T22" i="14"/>
  <c r="S22" i="14"/>
  <c r="L9" i="15"/>
  <c r="K9" i="15"/>
  <c r="J9" i="15"/>
  <c r="I9" i="15"/>
  <c r="M9" i="15"/>
  <c r="L135" i="15"/>
  <c r="K135" i="15"/>
  <c r="J135" i="15"/>
  <c r="I135" i="15"/>
  <c r="M135" i="15"/>
  <c r="J155" i="16"/>
  <c r="I155" i="16"/>
  <c r="K92" i="26"/>
  <c r="J92" i="26"/>
  <c r="I92" i="26"/>
  <c r="F42" i="2"/>
  <c r="L63" i="2"/>
  <c r="K63" i="2"/>
  <c r="J63" i="2"/>
  <c r="L10" i="3"/>
  <c r="K10" i="3"/>
  <c r="J10" i="3"/>
  <c r="L13" i="3"/>
  <c r="K13" i="3"/>
  <c r="J13" i="3"/>
  <c r="L25" i="3"/>
  <c r="K25" i="3"/>
  <c r="J25" i="3"/>
  <c r="L34" i="3"/>
  <c r="K34" i="3"/>
  <c r="J34" i="3"/>
  <c r="K40" i="3"/>
  <c r="J40" i="3"/>
  <c r="K46" i="3"/>
  <c r="J46" i="3"/>
  <c r="K52" i="3"/>
  <c r="J52" i="3"/>
  <c r="J71" i="3"/>
  <c r="L71" i="3"/>
  <c r="K71" i="3"/>
  <c r="G118" i="3"/>
  <c r="G195" i="3"/>
  <c r="M8" i="5"/>
  <c r="L8" i="5"/>
  <c r="K8" i="5"/>
  <c r="J8" i="5"/>
  <c r="I8" i="5"/>
  <c r="S12" i="6"/>
  <c r="R12" i="6"/>
  <c r="Q12" i="6"/>
  <c r="S49" i="6"/>
  <c r="R49" i="6"/>
  <c r="Q49" i="6"/>
  <c r="L43" i="12"/>
  <c r="J43" i="12"/>
  <c r="K43" i="12"/>
  <c r="I43" i="12"/>
  <c r="L52" i="12"/>
  <c r="J52" i="12"/>
  <c r="K52" i="12"/>
  <c r="I52" i="12"/>
  <c r="Y12" i="15"/>
  <c r="X12" i="15"/>
  <c r="W12" i="15"/>
  <c r="K11" i="6"/>
  <c r="J11" i="6"/>
  <c r="I11" i="6"/>
  <c r="K30" i="6"/>
  <c r="J30" i="6"/>
  <c r="I30" i="6"/>
  <c r="K48" i="6"/>
  <c r="J48" i="6"/>
  <c r="I48" i="6"/>
  <c r="K51" i="13"/>
  <c r="J51" i="13"/>
  <c r="I51" i="13"/>
  <c r="K57" i="13"/>
  <c r="J57" i="13"/>
  <c r="I57" i="13"/>
  <c r="K64" i="13"/>
  <c r="J64" i="13"/>
  <c r="I64" i="13"/>
  <c r="K70" i="13"/>
  <c r="J70" i="13"/>
  <c r="I70" i="13"/>
  <c r="K83" i="13"/>
  <c r="J83" i="13"/>
  <c r="I83" i="13"/>
  <c r="K89" i="13"/>
  <c r="J89" i="13"/>
  <c r="I89" i="13"/>
  <c r="K96" i="13"/>
  <c r="J96" i="13"/>
  <c r="I96" i="13"/>
  <c r="H104" i="13"/>
  <c r="K102" i="13"/>
  <c r="J102" i="13"/>
  <c r="I102" i="13"/>
  <c r="K109" i="13"/>
  <c r="J109" i="13"/>
  <c r="I109" i="13"/>
  <c r="K115" i="13"/>
  <c r="J115" i="13"/>
  <c r="I115" i="13"/>
  <c r="K122" i="13"/>
  <c r="J122" i="13"/>
  <c r="I122" i="13"/>
  <c r="K128" i="13"/>
  <c r="J128" i="13"/>
  <c r="I128" i="13"/>
  <c r="K135" i="13"/>
  <c r="J135" i="13"/>
  <c r="I135" i="13"/>
  <c r="K141" i="13"/>
  <c r="J141" i="13"/>
  <c r="I141" i="13"/>
  <c r="K148" i="13"/>
  <c r="J148" i="13"/>
  <c r="I148" i="13"/>
  <c r="K154" i="13"/>
  <c r="J154" i="13"/>
  <c r="I154" i="13"/>
  <c r="L38" i="15"/>
  <c r="K38" i="15"/>
  <c r="J38" i="15"/>
  <c r="I38" i="15"/>
  <c r="M38" i="15"/>
  <c r="L96" i="15"/>
  <c r="K96" i="15"/>
  <c r="J96" i="15"/>
  <c r="I96" i="15"/>
  <c r="M96" i="15"/>
  <c r="L154" i="15"/>
  <c r="K154" i="15"/>
  <c r="J154" i="15"/>
  <c r="I154" i="15"/>
  <c r="M154" i="15"/>
  <c r="J90" i="16"/>
  <c r="I90" i="16"/>
  <c r="J110" i="16"/>
  <c r="I110" i="16"/>
  <c r="J129" i="16"/>
  <c r="I129" i="16"/>
  <c r="H48" i="18"/>
  <c r="J40" i="18"/>
  <c r="I40" i="18"/>
  <c r="I17" i="2"/>
  <c r="J14" i="2"/>
  <c r="L14" i="2"/>
  <c r="K14" i="2"/>
  <c r="J23" i="2"/>
  <c r="L23" i="2"/>
  <c r="K23" i="2"/>
  <c r="J40" i="2"/>
  <c r="I43" i="2"/>
  <c r="L40" i="2"/>
  <c r="K40" i="2"/>
  <c r="J51" i="2"/>
  <c r="L51" i="2"/>
  <c r="K51" i="2"/>
  <c r="J80" i="3"/>
  <c r="K80" i="3"/>
  <c r="L80" i="3"/>
  <c r="J98" i="3"/>
  <c r="K98" i="3"/>
  <c r="L98" i="3"/>
  <c r="F115" i="3"/>
  <c r="F192" i="3"/>
  <c r="L20" i="5"/>
  <c r="K20" i="5"/>
  <c r="J20" i="5"/>
  <c r="I20" i="5"/>
  <c r="M20" i="5"/>
  <c r="L38" i="5"/>
  <c r="K38" i="5"/>
  <c r="J38" i="5"/>
  <c r="I38" i="5"/>
  <c r="M38" i="5"/>
  <c r="K24" i="6"/>
  <c r="J24" i="6"/>
  <c r="I24" i="6"/>
  <c r="S50" i="6"/>
  <c r="R50" i="6"/>
  <c r="Q50" i="6"/>
  <c r="L12" i="12"/>
  <c r="K12" i="12"/>
  <c r="I12" i="12"/>
  <c r="J12" i="12"/>
  <c r="K66" i="13"/>
  <c r="J66" i="13"/>
  <c r="I66" i="13"/>
  <c r="K92" i="13"/>
  <c r="J92" i="13"/>
  <c r="I92" i="13"/>
  <c r="K143" i="13"/>
  <c r="J143" i="13"/>
  <c r="I143" i="13"/>
  <c r="J116" i="16"/>
  <c r="I116" i="16"/>
  <c r="X144" i="18"/>
  <c r="L19" i="3"/>
  <c r="K19" i="3"/>
  <c r="J19" i="3"/>
  <c r="L37" i="3"/>
  <c r="K37" i="3"/>
  <c r="J37" i="3"/>
  <c r="G189" i="3"/>
  <c r="L218" i="3"/>
  <c r="K218" i="3"/>
  <c r="J218" i="3"/>
  <c r="V13" i="5"/>
  <c r="U13" i="5"/>
  <c r="T13" i="5"/>
  <c r="S13" i="5"/>
  <c r="W13" i="5"/>
  <c r="K49" i="6"/>
  <c r="J49" i="6"/>
  <c r="I49" i="6"/>
  <c r="L16" i="12"/>
  <c r="J16" i="12"/>
  <c r="K16" i="12"/>
  <c r="I16" i="12"/>
  <c r="J73" i="14"/>
  <c r="I73" i="14"/>
  <c r="J131" i="14"/>
  <c r="I131" i="14"/>
  <c r="M52" i="15"/>
  <c r="L52" i="15"/>
  <c r="K52" i="15"/>
  <c r="J52" i="15"/>
  <c r="I52" i="15"/>
  <c r="M110" i="15"/>
  <c r="L110" i="15"/>
  <c r="K110" i="15"/>
  <c r="J110" i="15"/>
  <c r="I110" i="15"/>
  <c r="I131" i="21"/>
  <c r="H131" i="21"/>
  <c r="V11" i="5"/>
  <c r="U11" i="5"/>
  <c r="T11" i="5"/>
  <c r="S11" i="5"/>
  <c r="W11" i="5"/>
  <c r="K10" i="6"/>
  <c r="J10" i="6"/>
  <c r="I10" i="6"/>
  <c r="K29" i="6"/>
  <c r="J29" i="6"/>
  <c r="I29" i="6"/>
  <c r="K47" i="6"/>
  <c r="J47" i="6"/>
  <c r="I47" i="6"/>
  <c r="L19" i="12"/>
  <c r="J19" i="12"/>
  <c r="K19" i="12"/>
  <c r="I19" i="12"/>
  <c r="L28" i="12"/>
  <c r="J28" i="12"/>
  <c r="K28" i="12"/>
  <c r="I28" i="12"/>
  <c r="L37" i="12"/>
  <c r="J37" i="12"/>
  <c r="K37" i="12"/>
  <c r="I37" i="12"/>
  <c r="L46" i="12"/>
  <c r="J46" i="12"/>
  <c r="K46" i="12"/>
  <c r="I46" i="12"/>
  <c r="J8" i="13"/>
  <c r="I8" i="13"/>
  <c r="K8" i="13"/>
  <c r="J10" i="13"/>
  <c r="I10" i="13"/>
  <c r="K10" i="13"/>
  <c r="J12" i="13"/>
  <c r="I12" i="13"/>
  <c r="K12" i="13"/>
  <c r="H20" i="13"/>
  <c r="J14" i="13"/>
  <c r="I14" i="13"/>
  <c r="K14" i="13"/>
  <c r="J16" i="13"/>
  <c r="I16" i="13"/>
  <c r="K16" i="13"/>
  <c r="J18" i="13"/>
  <c r="I18" i="13"/>
  <c r="K18" i="13"/>
  <c r="J24" i="13"/>
  <c r="I24" i="13"/>
  <c r="K24" i="13"/>
  <c r="J28" i="13"/>
  <c r="I28" i="13"/>
  <c r="K28" i="13"/>
  <c r="J32" i="13"/>
  <c r="I32" i="13"/>
  <c r="K32" i="13"/>
  <c r="J37" i="13"/>
  <c r="I37" i="13"/>
  <c r="K37" i="13"/>
  <c r="J41" i="13"/>
  <c r="I41" i="13"/>
  <c r="K41" i="13"/>
  <c r="J45" i="13"/>
  <c r="I45" i="13"/>
  <c r="K45" i="13"/>
  <c r="J18" i="14"/>
  <c r="I18" i="14"/>
  <c r="J34" i="14"/>
  <c r="I34" i="14"/>
  <c r="J63" i="14"/>
  <c r="I63" i="14"/>
  <c r="J92" i="14"/>
  <c r="I92" i="14"/>
  <c r="J151" i="14"/>
  <c r="I151" i="14"/>
  <c r="M156" i="15"/>
  <c r="L156" i="15"/>
  <c r="K156" i="15"/>
  <c r="J156" i="15"/>
  <c r="I156" i="15"/>
  <c r="M71" i="15"/>
  <c r="L71" i="15"/>
  <c r="K71" i="15"/>
  <c r="J71" i="15"/>
  <c r="I71" i="15"/>
  <c r="M129" i="15"/>
  <c r="L129" i="15"/>
  <c r="K129" i="15"/>
  <c r="J129" i="15"/>
  <c r="I129" i="15"/>
  <c r="Q67" i="18"/>
  <c r="U17" i="5"/>
  <c r="T17" i="5"/>
  <c r="S17" i="5"/>
  <c r="V17" i="5"/>
  <c r="W17" i="5"/>
  <c r="U19" i="5"/>
  <c r="T19" i="5"/>
  <c r="S19" i="5"/>
  <c r="W19" i="5"/>
  <c r="V19" i="5"/>
  <c r="U21" i="5"/>
  <c r="T21" i="5"/>
  <c r="S21" i="5"/>
  <c r="V21" i="5"/>
  <c r="W21" i="5"/>
  <c r="U23" i="5"/>
  <c r="T23" i="5"/>
  <c r="S23" i="5"/>
  <c r="V23" i="5"/>
  <c r="W23" i="5"/>
  <c r="U25" i="5"/>
  <c r="T25" i="5"/>
  <c r="S25" i="5"/>
  <c r="W25" i="5"/>
  <c r="V25" i="5"/>
  <c r="U27" i="5"/>
  <c r="T27" i="5"/>
  <c r="S27" i="5"/>
  <c r="V27" i="5"/>
  <c r="W27" i="5"/>
  <c r="U29" i="5"/>
  <c r="T29" i="5"/>
  <c r="S29" i="5"/>
  <c r="V29" i="5"/>
  <c r="W29" i="5"/>
  <c r="U31" i="5"/>
  <c r="T31" i="5"/>
  <c r="S31" i="5"/>
  <c r="W31" i="5"/>
  <c r="V31" i="5"/>
  <c r="K9" i="6"/>
  <c r="J9" i="6"/>
  <c r="I9" i="6"/>
  <c r="K15" i="6"/>
  <c r="J15" i="6"/>
  <c r="I15" i="6"/>
  <c r="K22" i="6"/>
  <c r="J22" i="6"/>
  <c r="I22" i="6"/>
  <c r="K28" i="6"/>
  <c r="J28" i="6"/>
  <c r="I28" i="6"/>
  <c r="K34" i="6"/>
  <c r="J34" i="6"/>
  <c r="I34" i="6"/>
  <c r="K40" i="6"/>
  <c r="J40" i="6"/>
  <c r="I40" i="6"/>
  <c r="K46" i="6"/>
  <c r="J46" i="6"/>
  <c r="I46" i="6"/>
  <c r="J8" i="12"/>
  <c r="I8" i="12"/>
  <c r="L8" i="12"/>
  <c r="K8" i="12"/>
  <c r="H55" i="12"/>
  <c r="V9" i="13"/>
  <c r="W9" i="13"/>
  <c r="U9" i="13"/>
  <c r="V11" i="13"/>
  <c r="W11" i="13"/>
  <c r="U11" i="13"/>
  <c r="V13" i="13"/>
  <c r="W13" i="13"/>
  <c r="U13" i="13"/>
  <c r="V15" i="13"/>
  <c r="W15" i="13"/>
  <c r="U15" i="13"/>
  <c r="V17" i="13"/>
  <c r="W17" i="13"/>
  <c r="U17" i="13"/>
  <c r="V19" i="13"/>
  <c r="W19" i="13"/>
  <c r="U19" i="13"/>
  <c r="J23" i="13"/>
  <c r="K23" i="13"/>
  <c r="I23" i="13"/>
  <c r="J27" i="13"/>
  <c r="K27" i="13"/>
  <c r="I27" i="13"/>
  <c r="J31" i="13"/>
  <c r="K31" i="13"/>
  <c r="I31" i="13"/>
  <c r="J36" i="13"/>
  <c r="K36" i="13"/>
  <c r="I36" i="13"/>
  <c r="J40" i="13"/>
  <c r="K40" i="13"/>
  <c r="I40" i="13"/>
  <c r="H48" i="13"/>
  <c r="J44" i="13"/>
  <c r="K44" i="13"/>
  <c r="I44" i="13"/>
  <c r="M26" i="15"/>
  <c r="L26" i="15"/>
  <c r="K26" i="15"/>
  <c r="J26" i="15"/>
  <c r="I26" i="15"/>
  <c r="M45" i="15"/>
  <c r="L45" i="15"/>
  <c r="K45" i="15"/>
  <c r="J45" i="15"/>
  <c r="I45" i="15"/>
  <c r="M65" i="15"/>
  <c r="L65" i="15"/>
  <c r="K65" i="15"/>
  <c r="J65" i="15"/>
  <c r="I65" i="15"/>
  <c r="M84" i="15"/>
  <c r="L84" i="15"/>
  <c r="K84" i="15"/>
  <c r="J84" i="15"/>
  <c r="I84" i="15"/>
  <c r="M103" i="15"/>
  <c r="L103" i="15"/>
  <c r="K103" i="15"/>
  <c r="J103" i="15"/>
  <c r="I103" i="15"/>
  <c r="M123" i="15"/>
  <c r="L123" i="15"/>
  <c r="K123" i="15"/>
  <c r="J123" i="15"/>
  <c r="I123" i="15"/>
  <c r="M142" i="15"/>
  <c r="L142" i="15"/>
  <c r="K142" i="15"/>
  <c r="J142" i="15"/>
  <c r="I142" i="15"/>
  <c r="J160" i="17"/>
  <c r="I160" i="17"/>
  <c r="X37" i="18"/>
  <c r="W36" i="18"/>
  <c r="X61" i="18"/>
  <c r="J123" i="18"/>
  <c r="I123" i="18"/>
  <c r="I98" i="19"/>
  <c r="H98" i="19"/>
  <c r="I153" i="19"/>
  <c r="H153" i="19"/>
  <c r="G161" i="19"/>
  <c r="J16" i="14"/>
  <c r="I16" i="14"/>
  <c r="J22" i="14"/>
  <c r="I22" i="14"/>
  <c r="J28" i="14"/>
  <c r="I28" i="14"/>
  <c r="J47" i="14"/>
  <c r="I47" i="14"/>
  <c r="H65" i="14"/>
  <c r="J57" i="14"/>
  <c r="I57" i="14"/>
  <c r="J67" i="14"/>
  <c r="I67" i="14"/>
  <c r="J76" i="14"/>
  <c r="I76" i="14"/>
  <c r="J86" i="14"/>
  <c r="I86" i="14"/>
  <c r="J96" i="14"/>
  <c r="I96" i="14"/>
  <c r="J105" i="14"/>
  <c r="I105" i="14"/>
  <c r="J115" i="14"/>
  <c r="I115" i="14"/>
  <c r="J125" i="14"/>
  <c r="I125" i="14"/>
  <c r="J134" i="14"/>
  <c r="I134" i="14"/>
  <c r="J144" i="14"/>
  <c r="I144" i="14"/>
  <c r="J154" i="14"/>
  <c r="I154" i="14"/>
  <c r="L12" i="15"/>
  <c r="K12" i="15"/>
  <c r="J12" i="15"/>
  <c r="I12" i="15"/>
  <c r="M12" i="15"/>
  <c r="L31" i="15"/>
  <c r="K31" i="15"/>
  <c r="J31" i="15"/>
  <c r="I31" i="15"/>
  <c r="M31" i="15"/>
  <c r="L51" i="15"/>
  <c r="K51" i="15"/>
  <c r="J51" i="15"/>
  <c r="I51" i="15"/>
  <c r="M51" i="15"/>
  <c r="L70" i="15"/>
  <c r="K70" i="15"/>
  <c r="J70" i="15"/>
  <c r="I70" i="15"/>
  <c r="M70" i="15"/>
  <c r="L89" i="15"/>
  <c r="K89" i="15"/>
  <c r="J89" i="15"/>
  <c r="I89" i="15"/>
  <c r="M89" i="15"/>
  <c r="L109" i="15"/>
  <c r="K109" i="15"/>
  <c r="J109" i="15"/>
  <c r="I109" i="15"/>
  <c r="M109" i="15"/>
  <c r="L128" i="15"/>
  <c r="K128" i="15"/>
  <c r="J128" i="15"/>
  <c r="I128" i="15"/>
  <c r="M128" i="15"/>
  <c r="X25" i="18"/>
  <c r="I28" i="18"/>
  <c r="Q30" i="18"/>
  <c r="X41" i="18"/>
  <c r="I102" i="18"/>
  <c r="I35" i="21"/>
  <c r="H35" i="21"/>
  <c r="I7" i="6"/>
  <c r="K7" i="6"/>
  <c r="J7" i="6"/>
  <c r="I13" i="6"/>
  <c r="K13" i="6"/>
  <c r="J13" i="6"/>
  <c r="I26" i="6"/>
  <c r="K26" i="6"/>
  <c r="J26" i="6"/>
  <c r="J9" i="13"/>
  <c r="I9" i="13"/>
  <c r="K9" i="13"/>
  <c r="J11" i="13"/>
  <c r="I11" i="13"/>
  <c r="K11" i="13"/>
  <c r="J13" i="13"/>
  <c r="I13" i="13"/>
  <c r="K13" i="13"/>
  <c r="J15" i="13"/>
  <c r="I15" i="13"/>
  <c r="K15" i="13"/>
  <c r="J17" i="13"/>
  <c r="I17" i="13"/>
  <c r="K17" i="13"/>
  <c r="J19" i="13"/>
  <c r="I19" i="13"/>
  <c r="K19" i="13"/>
  <c r="J22" i="13"/>
  <c r="I22" i="13"/>
  <c r="K22" i="13"/>
  <c r="J26" i="13"/>
  <c r="I26" i="13"/>
  <c r="K26" i="13"/>
  <c r="H34" i="13"/>
  <c r="J30" i="13"/>
  <c r="I30" i="13"/>
  <c r="K30" i="13"/>
  <c r="J39" i="13"/>
  <c r="I39" i="13"/>
  <c r="K39" i="13"/>
  <c r="J43" i="13"/>
  <c r="I43" i="13"/>
  <c r="K43" i="13"/>
  <c r="M39" i="15"/>
  <c r="L39" i="15"/>
  <c r="K39" i="15"/>
  <c r="J39" i="15"/>
  <c r="I39" i="15"/>
  <c r="M58" i="15"/>
  <c r="L58" i="15"/>
  <c r="K58" i="15"/>
  <c r="J58" i="15"/>
  <c r="I58" i="15"/>
  <c r="M97" i="15"/>
  <c r="H105" i="15"/>
  <c r="L97" i="15"/>
  <c r="K97" i="15"/>
  <c r="J97" i="15"/>
  <c r="I97" i="15"/>
  <c r="M116" i="15"/>
  <c r="L116" i="15"/>
  <c r="K116" i="15"/>
  <c r="J116" i="15"/>
  <c r="I116" i="15"/>
  <c r="M136" i="15"/>
  <c r="L136" i="15"/>
  <c r="K136" i="15"/>
  <c r="J136" i="15"/>
  <c r="I136" i="15"/>
  <c r="M155" i="15"/>
  <c r="L155" i="15"/>
  <c r="K155" i="15"/>
  <c r="J155" i="15"/>
  <c r="I155" i="15"/>
  <c r="X17" i="18"/>
  <c r="Q23" i="18"/>
  <c r="P22" i="18"/>
  <c r="I65" i="18"/>
  <c r="H64" i="18"/>
  <c r="Q125" i="18"/>
  <c r="I143" i="19"/>
  <c r="H143" i="19"/>
  <c r="I40" i="19"/>
  <c r="H40" i="19"/>
  <c r="I127" i="19"/>
  <c r="H127" i="19"/>
  <c r="V8" i="13"/>
  <c r="U8" i="13"/>
  <c r="W8" i="13"/>
  <c r="V10" i="13"/>
  <c r="W10" i="13"/>
  <c r="U10" i="13"/>
  <c r="V12" i="13"/>
  <c r="T20" i="13"/>
  <c r="U12" i="13"/>
  <c r="W12" i="13"/>
  <c r="V14" i="13"/>
  <c r="W14" i="13"/>
  <c r="U14" i="13"/>
  <c r="V16" i="13"/>
  <c r="W16" i="13"/>
  <c r="U16" i="13"/>
  <c r="V18" i="13"/>
  <c r="W18" i="13"/>
  <c r="U18" i="13"/>
  <c r="J25" i="13"/>
  <c r="K25" i="13"/>
  <c r="I25" i="13"/>
  <c r="J29" i="13"/>
  <c r="K29" i="13"/>
  <c r="I29" i="13"/>
  <c r="J33" i="13"/>
  <c r="K33" i="13"/>
  <c r="I33" i="13"/>
  <c r="J38" i="13"/>
  <c r="I38" i="13"/>
  <c r="K38" i="13"/>
  <c r="J42" i="13"/>
  <c r="I42" i="13"/>
  <c r="K42" i="13"/>
  <c r="J46" i="13"/>
  <c r="K46" i="13"/>
  <c r="I46" i="13"/>
  <c r="J14" i="14"/>
  <c r="I14" i="14"/>
  <c r="J20" i="14"/>
  <c r="I20" i="14"/>
  <c r="J31" i="14"/>
  <c r="I31" i="14"/>
  <c r="J41" i="14"/>
  <c r="I41" i="14"/>
  <c r="J50" i="14"/>
  <c r="I50" i="14"/>
  <c r="J60" i="14"/>
  <c r="I60" i="14"/>
  <c r="J70" i="14"/>
  <c r="I70" i="14"/>
  <c r="J89" i="14"/>
  <c r="I89" i="14"/>
  <c r="H107" i="14"/>
  <c r="J99" i="14"/>
  <c r="I99" i="14"/>
  <c r="J109" i="14"/>
  <c r="I109" i="14"/>
  <c r="J118" i="14"/>
  <c r="I118" i="14"/>
  <c r="J128" i="14"/>
  <c r="I128" i="14"/>
  <c r="J138" i="14"/>
  <c r="I138" i="14"/>
  <c r="J147" i="14"/>
  <c r="I147" i="14"/>
  <c r="J157" i="14"/>
  <c r="I157" i="14"/>
  <c r="L15" i="15"/>
  <c r="K15" i="15"/>
  <c r="J15" i="15"/>
  <c r="I15" i="15"/>
  <c r="M15" i="15"/>
  <c r="L25" i="15"/>
  <c r="K25" i="15"/>
  <c r="J25" i="15"/>
  <c r="I25" i="15"/>
  <c r="M25" i="15"/>
  <c r="L44" i="15"/>
  <c r="K44" i="15"/>
  <c r="J44" i="15"/>
  <c r="I44" i="15"/>
  <c r="M44" i="15"/>
  <c r="H91" i="15"/>
  <c r="L83" i="15"/>
  <c r="K83" i="15"/>
  <c r="J83" i="15"/>
  <c r="I83" i="15"/>
  <c r="M83" i="15"/>
  <c r="L102" i="15"/>
  <c r="K102" i="15"/>
  <c r="J102" i="15"/>
  <c r="I102" i="15"/>
  <c r="M102" i="15"/>
  <c r="L122" i="15"/>
  <c r="K122" i="15"/>
  <c r="J122" i="15"/>
  <c r="I122" i="15"/>
  <c r="M122" i="15"/>
  <c r="L141" i="15"/>
  <c r="K141" i="15"/>
  <c r="J141" i="15"/>
  <c r="I141" i="15"/>
  <c r="M141" i="15"/>
  <c r="L160" i="15"/>
  <c r="K160" i="15"/>
  <c r="J160" i="15"/>
  <c r="I160" i="15"/>
  <c r="M160" i="15"/>
  <c r="V20" i="16"/>
  <c r="U20" i="16"/>
  <c r="H8" i="18"/>
  <c r="J141" i="18" s="1"/>
  <c r="I9" i="18"/>
  <c r="Q11" i="18"/>
  <c r="I44" i="18"/>
  <c r="X157" i="18"/>
  <c r="J26" i="14"/>
  <c r="I26" i="14"/>
  <c r="J29" i="14"/>
  <c r="I29" i="14"/>
  <c r="H37" i="14"/>
  <c r="J32" i="14"/>
  <c r="I32" i="14"/>
  <c r="J35" i="14"/>
  <c r="I35" i="14"/>
  <c r="J39" i="14"/>
  <c r="I39" i="14"/>
  <c r="J42" i="14"/>
  <c r="I42" i="14"/>
  <c r="J45" i="14"/>
  <c r="I45" i="14"/>
  <c r="J48" i="14"/>
  <c r="I48" i="14"/>
  <c r="J55" i="14"/>
  <c r="I55" i="14"/>
  <c r="J58" i="14"/>
  <c r="I58" i="14"/>
  <c r="J61" i="14"/>
  <c r="I61" i="14"/>
  <c r="J64" i="14"/>
  <c r="I64" i="14"/>
  <c r="J68" i="14"/>
  <c r="I68" i="14"/>
  <c r="J71" i="14"/>
  <c r="I71" i="14"/>
  <c r="H79" i="14"/>
  <c r="J74" i="14"/>
  <c r="I74" i="14"/>
  <c r="J77" i="14"/>
  <c r="I77" i="14"/>
  <c r="J81" i="14"/>
  <c r="I81" i="14"/>
  <c r="J84" i="14"/>
  <c r="I84" i="14"/>
  <c r="J87" i="14"/>
  <c r="I87" i="14"/>
  <c r="J90" i="14"/>
  <c r="I90" i="14"/>
  <c r="J97" i="14"/>
  <c r="I97" i="14"/>
  <c r="J100" i="14"/>
  <c r="I100" i="14"/>
  <c r="J103" i="14"/>
  <c r="I103" i="14"/>
  <c r="J106" i="14"/>
  <c r="I106" i="14"/>
  <c r="J110" i="14"/>
  <c r="I110" i="14"/>
  <c r="J113" i="14"/>
  <c r="I113" i="14"/>
  <c r="H121" i="14"/>
  <c r="J116" i="14"/>
  <c r="I116" i="14"/>
  <c r="J119" i="14"/>
  <c r="I119" i="14"/>
  <c r="J123" i="14"/>
  <c r="I123" i="14"/>
  <c r="J126" i="14"/>
  <c r="I126" i="14"/>
  <c r="J129" i="14"/>
  <c r="I129" i="14"/>
  <c r="J132" i="14"/>
  <c r="I132" i="14"/>
  <c r="J139" i="14"/>
  <c r="I139" i="14"/>
  <c r="J142" i="14"/>
  <c r="I142" i="14"/>
  <c r="J145" i="14"/>
  <c r="I145" i="14"/>
  <c r="J148" i="14"/>
  <c r="I148" i="14"/>
  <c r="J152" i="14"/>
  <c r="I152" i="14"/>
  <c r="J155" i="14"/>
  <c r="I155" i="14"/>
  <c r="H163" i="14"/>
  <c r="J158" i="14"/>
  <c r="I158" i="14"/>
  <c r="J161" i="14"/>
  <c r="I161" i="14"/>
  <c r="X18" i="18"/>
  <c r="Q24" i="18"/>
  <c r="X38" i="18"/>
  <c r="P48" i="18"/>
  <c r="Q40" i="18"/>
  <c r="X80" i="18"/>
  <c r="J83" i="18"/>
  <c r="I83" i="18"/>
  <c r="Q85" i="18"/>
  <c r="W146" i="18"/>
  <c r="X138" i="18"/>
  <c r="I141" i="18"/>
  <c r="Q143" i="18"/>
  <c r="J47" i="13"/>
  <c r="I47" i="13"/>
  <c r="K47" i="13"/>
  <c r="J50" i="13"/>
  <c r="I50" i="13"/>
  <c r="K50" i="13"/>
  <c r="J52" i="13"/>
  <c r="I52" i="13"/>
  <c r="K52" i="13"/>
  <c r="J54" i="13"/>
  <c r="I54" i="13"/>
  <c r="H62" i="13"/>
  <c r="K54" i="13"/>
  <c r="J56" i="13"/>
  <c r="I56" i="13"/>
  <c r="K56" i="13"/>
  <c r="J58" i="13"/>
  <c r="I58" i="13"/>
  <c r="K58" i="13"/>
  <c r="J60" i="13"/>
  <c r="I60" i="13"/>
  <c r="K60" i="13"/>
  <c r="J65" i="13"/>
  <c r="I65" i="13"/>
  <c r="K65" i="13"/>
  <c r="J67" i="13"/>
  <c r="I67" i="13"/>
  <c r="K67" i="13"/>
  <c r="J69" i="13"/>
  <c r="I69" i="13"/>
  <c r="K69" i="13"/>
  <c r="J71" i="13"/>
  <c r="I71" i="13"/>
  <c r="K71" i="13"/>
  <c r="J73" i="13"/>
  <c r="I73" i="13"/>
  <c r="K73" i="13"/>
  <c r="J75" i="13"/>
  <c r="I75" i="13"/>
  <c r="K75" i="13"/>
  <c r="J78" i="13"/>
  <c r="I78" i="13"/>
  <c r="K78" i="13"/>
  <c r="J80" i="13"/>
  <c r="I80" i="13"/>
  <c r="K80" i="13"/>
  <c r="J82" i="13"/>
  <c r="I82" i="13"/>
  <c r="H90" i="13"/>
  <c r="K82" i="13"/>
  <c r="J84" i="13"/>
  <c r="I84" i="13"/>
  <c r="K84" i="13"/>
  <c r="J86" i="13"/>
  <c r="I86" i="13"/>
  <c r="K86" i="13"/>
  <c r="J88" i="13"/>
  <c r="I88" i="13"/>
  <c r="K88" i="13"/>
  <c r="J93" i="13"/>
  <c r="I93" i="13"/>
  <c r="K93" i="13"/>
  <c r="J95" i="13"/>
  <c r="I95" i="13"/>
  <c r="K95" i="13"/>
  <c r="J97" i="13"/>
  <c r="I97" i="13"/>
  <c r="K97" i="13"/>
  <c r="J99" i="13"/>
  <c r="I99" i="13"/>
  <c r="K99" i="13"/>
  <c r="J101" i="13"/>
  <c r="I101" i="13"/>
  <c r="K101" i="13"/>
  <c r="J103" i="13"/>
  <c r="I103" i="13"/>
  <c r="K103" i="13"/>
  <c r="J106" i="13"/>
  <c r="I106" i="13"/>
  <c r="K106" i="13"/>
  <c r="J108" i="13"/>
  <c r="I108" i="13"/>
  <c r="K108" i="13"/>
  <c r="J110" i="13"/>
  <c r="I110" i="13"/>
  <c r="H118" i="13"/>
  <c r="K110" i="13"/>
  <c r="J112" i="13"/>
  <c r="I112" i="13"/>
  <c r="K112" i="13"/>
  <c r="J114" i="13"/>
  <c r="I114" i="13"/>
  <c r="K114" i="13"/>
  <c r="J116" i="13"/>
  <c r="I116" i="13"/>
  <c r="K116" i="13"/>
  <c r="J121" i="13"/>
  <c r="I121" i="13"/>
  <c r="K121" i="13"/>
  <c r="J123" i="13"/>
  <c r="I123" i="13"/>
  <c r="K123" i="13"/>
  <c r="J125" i="13"/>
  <c r="I125" i="13"/>
  <c r="K125" i="13"/>
  <c r="J127" i="13"/>
  <c r="I127" i="13"/>
  <c r="K127" i="13"/>
  <c r="J129" i="13"/>
  <c r="I129" i="13"/>
  <c r="K129" i="13"/>
  <c r="J131" i="13"/>
  <c r="I131" i="13"/>
  <c r="K131" i="13"/>
  <c r="J134" i="13"/>
  <c r="I134" i="13"/>
  <c r="K134" i="13"/>
  <c r="J136" i="13"/>
  <c r="I136" i="13"/>
  <c r="K136" i="13"/>
  <c r="J138" i="13"/>
  <c r="I138" i="13"/>
  <c r="H146" i="13"/>
  <c r="K138" i="13"/>
  <c r="J140" i="13"/>
  <c r="I140" i="13"/>
  <c r="K140" i="13"/>
  <c r="J142" i="13"/>
  <c r="I142" i="13"/>
  <c r="K142" i="13"/>
  <c r="J144" i="13"/>
  <c r="I144" i="13"/>
  <c r="K144" i="13"/>
  <c r="J149" i="13"/>
  <c r="I149" i="13"/>
  <c r="K149" i="13"/>
  <c r="J151" i="13"/>
  <c r="I151" i="13"/>
  <c r="K151" i="13"/>
  <c r="J153" i="13"/>
  <c r="I153" i="13"/>
  <c r="K153" i="13"/>
  <c r="J155" i="13"/>
  <c r="I155" i="13"/>
  <c r="K155" i="13"/>
  <c r="J157" i="13"/>
  <c r="I157" i="13"/>
  <c r="K157" i="13"/>
  <c r="J159" i="13"/>
  <c r="I159" i="13"/>
  <c r="K159" i="13"/>
  <c r="J11" i="14"/>
  <c r="I11" i="14"/>
  <c r="J13" i="14"/>
  <c r="I13" i="14"/>
  <c r="J15" i="14"/>
  <c r="I15" i="14"/>
  <c r="H23" i="14"/>
  <c r="J17" i="14"/>
  <c r="I17" i="14"/>
  <c r="J19" i="14"/>
  <c r="I19" i="14"/>
  <c r="J21" i="14"/>
  <c r="I21" i="14"/>
  <c r="J10" i="15"/>
  <c r="I10" i="15"/>
  <c r="M10" i="15"/>
  <c r="L10" i="15"/>
  <c r="K10" i="15"/>
  <c r="J13" i="15"/>
  <c r="I13" i="15"/>
  <c r="M13" i="15"/>
  <c r="L13" i="15"/>
  <c r="K13" i="15"/>
  <c r="H21" i="15"/>
  <c r="J16" i="15"/>
  <c r="I16" i="15"/>
  <c r="M16" i="15"/>
  <c r="L16" i="15"/>
  <c r="K16" i="15"/>
  <c r="J19" i="15"/>
  <c r="I19" i="15"/>
  <c r="M19" i="15"/>
  <c r="L19" i="15"/>
  <c r="K19" i="15"/>
  <c r="J23" i="15"/>
  <c r="I23" i="15"/>
  <c r="M23" i="15"/>
  <c r="L23" i="15"/>
  <c r="K23" i="15"/>
  <c r="J29" i="15"/>
  <c r="I29" i="15"/>
  <c r="M29" i="15"/>
  <c r="L29" i="15"/>
  <c r="K29" i="15"/>
  <c r="J42" i="15"/>
  <c r="I42" i="15"/>
  <c r="M42" i="15"/>
  <c r="L42" i="15"/>
  <c r="K42" i="15"/>
  <c r="J48" i="15"/>
  <c r="I48" i="15"/>
  <c r="M48" i="15"/>
  <c r="L48" i="15"/>
  <c r="K48" i="15"/>
  <c r="J55" i="15"/>
  <c r="I55" i="15"/>
  <c r="M55" i="15"/>
  <c r="H63" i="15"/>
  <c r="K55" i="15"/>
  <c r="L55" i="15"/>
  <c r="J61" i="15"/>
  <c r="I61" i="15"/>
  <c r="M61" i="15"/>
  <c r="L61" i="15"/>
  <c r="K61" i="15"/>
  <c r="J68" i="15"/>
  <c r="I68" i="15"/>
  <c r="M68" i="15"/>
  <c r="L68" i="15"/>
  <c r="K68" i="15"/>
  <c r="J74" i="15"/>
  <c r="I74" i="15"/>
  <c r="M74" i="15"/>
  <c r="L74" i="15"/>
  <c r="K74" i="15"/>
  <c r="J81" i="15"/>
  <c r="I81" i="15"/>
  <c r="M81" i="15"/>
  <c r="L81" i="15"/>
  <c r="K81" i="15"/>
  <c r="J87" i="15"/>
  <c r="I87" i="15"/>
  <c r="M87" i="15"/>
  <c r="L87" i="15"/>
  <c r="K87" i="15"/>
  <c r="J94" i="15"/>
  <c r="I94" i="15"/>
  <c r="M94" i="15"/>
  <c r="K94" i="15"/>
  <c r="L94" i="15"/>
  <c r="J100" i="15"/>
  <c r="I100" i="15"/>
  <c r="M100" i="15"/>
  <c r="L100" i="15"/>
  <c r="K100" i="15"/>
  <c r="J107" i="15"/>
  <c r="I107" i="15"/>
  <c r="M107" i="15"/>
  <c r="L107" i="15"/>
  <c r="K107" i="15"/>
  <c r="J113" i="15"/>
  <c r="I113" i="15"/>
  <c r="M113" i="15"/>
  <c r="K113" i="15"/>
  <c r="L113" i="15"/>
  <c r="J126" i="15"/>
  <c r="I126" i="15"/>
  <c r="M126" i="15"/>
  <c r="L126" i="15"/>
  <c r="K126" i="15"/>
  <c r="J132" i="15"/>
  <c r="I132" i="15"/>
  <c r="M132" i="15"/>
  <c r="L132" i="15"/>
  <c r="K132" i="15"/>
  <c r="J139" i="15"/>
  <c r="I139" i="15"/>
  <c r="M139" i="15"/>
  <c r="L139" i="15"/>
  <c r="K139" i="15"/>
  <c r="H147" i="15"/>
  <c r="X11" i="18"/>
  <c r="I14" i="18"/>
  <c r="Q16" i="18"/>
  <c r="X30" i="18"/>
  <c r="J33" i="18"/>
  <c r="I33" i="18"/>
  <c r="X42" i="18"/>
  <c r="I45" i="18"/>
  <c r="Q47" i="18"/>
  <c r="X100" i="18"/>
  <c r="I103" i="18"/>
  <c r="X158" i="18"/>
  <c r="Y132" i="19"/>
  <c r="X132" i="19"/>
  <c r="X18" i="22"/>
  <c r="W18" i="22"/>
  <c r="V18" i="22"/>
  <c r="L94" i="22"/>
  <c r="K94" i="22"/>
  <c r="J94" i="22"/>
  <c r="I27" i="14"/>
  <c r="J27" i="14"/>
  <c r="I30" i="14"/>
  <c r="J30" i="14"/>
  <c r="I33" i="14"/>
  <c r="J33" i="14"/>
  <c r="I36" i="14"/>
  <c r="J36" i="14"/>
  <c r="I40" i="14"/>
  <c r="J40" i="14"/>
  <c r="I43" i="14"/>
  <c r="H51" i="14"/>
  <c r="J43" i="14"/>
  <c r="I46" i="14"/>
  <c r="J46" i="14"/>
  <c r="I49" i="14"/>
  <c r="J49" i="14"/>
  <c r="I53" i="14"/>
  <c r="J53" i="14"/>
  <c r="I56" i="14"/>
  <c r="J56" i="14"/>
  <c r="I59" i="14"/>
  <c r="J59" i="14"/>
  <c r="I62" i="14"/>
  <c r="J62" i="14"/>
  <c r="I69" i="14"/>
  <c r="J69" i="14"/>
  <c r="I72" i="14"/>
  <c r="J72" i="14"/>
  <c r="I75" i="14"/>
  <c r="J75" i="14"/>
  <c r="I78" i="14"/>
  <c r="J78" i="14"/>
  <c r="I82" i="14"/>
  <c r="J82" i="14"/>
  <c r="I85" i="14"/>
  <c r="H93" i="14"/>
  <c r="J85" i="14"/>
  <c r="I88" i="14"/>
  <c r="J88" i="14"/>
  <c r="I91" i="14"/>
  <c r="J91" i="14"/>
  <c r="I95" i="14"/>
  <c r="J95" i="14"/>
  <c r="I98" i="14"/>
  <c r="J98" i="14"/>
  <c r="I101" i="14"/>
  <c r="J101" i="14"/>
  <c r="I104" i="14"/>
  <c r="J104" i="14"/>
  <c r="I111" i="14"/>
  <c r="J111" i="14"/>
  <c r="I114" i="14"/>
  <c r="J114" i="14"/>
  <c r="I117" i="14"/>
  <c r="J117" i="14"/>
  <c r="I120" i="14"/>
  <c r="J120" i="14"/>
  <c r="I124" i="14"/>
  <c r="J124" i="14"/>
  <c r="I127" i="14"/>
  <c r="H135" i="14"/>
  <c r="J127" i="14"/>
  <c r="I130" i="14"/>
  <c r="J130" i="14"/>
  <c r="I133" i="14"/>
  <c r="J133" i="14"/>
  <c r="I137" i="14"/>
  <c r="J137" i="14"/>
  <c r="I140" i="14"/>
  <c r="J140" i="14"/>
  <c r="I143" i="14"/>
  <c r="J143" i="14"/>
  <c r="I146" i="14"/>
  <c r="J146" i="14"/>
  <c r="I153" i="14"/>
  <c r="J153" i="14"/>
  <c r="I156" i="14"/>
  <c r="J156" i="14"/>
  <c r="I159" i="14"/>
  <c r="J159" i="14"/>
  <c r="I162" i="14"/>
  <c r="J162" i="14"/>
  <c r="W20" i="18"/>
  <c r="X12" i="18"/>
  <c r="J15" i="18"/>
  <c r="I15" i="18"/>
  <c r="Q17" i="18"/>
  <c r="X31" i="18"/>
  <c r="Q37" i="18"/>
  <c r="P36" i="18"/>
  <c r="X60" i="18"/>
  <c r="Q66" i="18"/>
  <c r="J122" i="18"/>
  <c r="I122" i="18"/>
  <c r="P132" i="18"/>
  <c r="Q124" i="18"/>
  <c r="I30" i="19"/>
  <c r="H30" i="19"/>
  <c r="I59" i="19"/>
  <c r="H59" i="19"/>
  <c r="I88" i="19"/>
  <c r="H88" i="19"/>
  <c r="I117" i="19"/>
  <c r="H117" i="19"/>
  <c r="I19" i="21"/>
  <c r="H19" i="21"/>
  <c r="Q10" i="18"/>
  <c r="X24" i="18"/>
  <c r="J27" i="18"/>
  <c r="I27" i="18"/>
  <c r="Q29" i="18"/>
  <c r="X81" i="18"/>
  <c r="J84" i="18"/>
  <c r="I84" i="18"/>
  <c r="Q86" i="18"/>
  <c r="X139" i="18"/>
  <c r="J142" i="18"/>
  <c r="I142" i="18"/>
  <c r="Q144" i="18"/>
  <c r="I12" i="19"/>
  <c r="H12" i="19"/>
  <c r="Y152" i="19"/>
  <c r="X152" i="19"/>
  <c r="Y139" i="19"/>
  <c r="X139" i="19"/>
  <c r="W147" i="19"/>
  <c r="Y158" i="19"/>
  <c r="X158" i="19"/>
  <c r="I54" i="21"/>
  <c r="H54" i="21"/>
  <c r="L65" i="22"/>
  <c r="K65" i="22"/>
  <c r="J65" i="22"/>
  <c r="L152" i="22"/>
  <c r="K152" i="22"/>
  <c r="J152" i="22"/>
  <c r="I74" i="21"/>
  <c r="H74" i="21"/>
  <c r="Y136" i="19"/>
  <c r="X136" i="19"/>
  <c r="W135" i="19"/>
  <c r="Y145" i="19"/>
  <c r="X145" i="19"/>
  <c r="Y155" i="19"/>
  <c r="X155" i="19"/>
  <c r="R16" i="21"/>
  <c r="Q16" i="21"/>
  <c r="L123" i="22"/>
  <c r="K123" i="22"/>
  <c r="J123" i="22"/>
  <c r="R10" i="21"/>
  <c r="Q10" i="21"/>
  <c r="I113" i="21"/>
  <c r="H113" i="21"/>
  <c r="I48" i="21"/>
  <c r="H48" i="21"/>
  <c r="I87" i="21"/>
  <c r="H87" i="21"/>
  <c r="G134" i="21"/>
  <c r="I126" i="21"/>
  <c r="H126" i="21"/>
  <c r="I139" i="21"/>
  <c r="H139" i="21"/>
  <c r="G36" i="21"/>
  <c r="I28" i="21"/>
  <c r="H28" i="21"/>
  <c r="I67" i="21"/>
  <c r="H67" i="21"/>
  <c r="I105" i="21"/>
  <c r="H105" i="21"/>
  <c r="L26" i="22"/>
  <c r="K26" i="22"/>
  <c r="J26" i="22"/>
  <c r="L55" i="22"/>
  <c r="I63" i="22"/>
  <c r="K55" i="22"/>
  <c r="J55" i="22"/>
  <c r="L84" i="22"/>
  <c r="K84" i="22"/>
  <c r="J84" i="22"/>
  <c r="L113" i="22"/>
  <c r="K113" i="22"/>
  <c r="J113" i="22"/>
  <c r="L142" i="22"/>
  <c r="K142" i="22"/>
  <c r="J142" i="22"/>
  <c r="I61" i="21"/>
  <c r="H61" i="21"/>
  <c r="I100" i="21"/>
  <c r="H100" i="21"/>
  <c r="I158" i="21"/>
  <c r="H158" i="21"/>
  <c r="X12" i="22"/>
  <c r="W12" i="22"/>
  <c r="V12" i="22"/>
  <c r="X15" i="19"/>
  <c r="Y15" i="19"/>
  <c r="X16" i="19"/>
  <c r="Y16" i="19"/>
  <c r="X17" i="19"/>
  <c r="Y17" i="19"/>
  <c r="I13" i="21"/>
  <c r="H13" i="21"/>
  <c r="I41" i="21"/>
  <c r="H41" i="21"/>
  <c r="I80" i="21"/>
  <c r="H80" i="21"/>
  <c r="I118" i="21"/>
  <c r="H118" i="21"/>
  <c r="I144" i="21"/>
  <c r="H144" i="21"/>
  <c r="L16" i="22"/>
  <c r="K16" i="22"/>
  <c r="J16" i="22"/>
  <c r="L45" i="22"/>
  <c r="K45" i="22"/>
  <c r="J45" i="22"/>
  <c r="L74" i="22"/>
  <c r="K74" i="22"/>
  <c r="J74" i="22"/>
  <c r="L103" i="22"/>
  <c r="K103" i="22"/>
  <c r="J103" i="22"/>
  <c r="L132" i="22"/>
  <c r="K132" i="22"/>
  <c r="J132" i="22"/>
  <c r="I27" i="21"/>
  <c r="H27" i="21"/>
  <c r="I40" i="21"/>
  <c r="H40" i="21"/>
  <c r="I53" i="21"/>
  <c r="H53" i="21"/>
  <c r="I66" i="21"/>
  <c r="H66" i="21"/>
  <c r="I91" i="21"/>
  <c r="H91" i="21"/>
  <c r="I104" i="21"/>
  <c r="H104" i="21"/>
  <c r="I117" i="21"/>
  <c r="H117" i="21"/>
  <c r="I130" i="21"/>
  <c r="H130" i="21"/>
  <c r="I151" i="21"/>
  <c r="H151" i="21"/>
  <c r="K157" i="22"/>
  <c r="J157" i="22"/>
  <c r="L157" i="22"/>
  <c r="L23" i="22"/>
  <c r="K23" i="22"/>
  <c r="J23" i="22"/>
  <c r="L32" i="22"/>
  <c r="K32" i="22"/>
  <c r="J32" i="22"/>
  <c r="L42" i="22"/>
  <c r="K42" i="22"/>
  <c r="J42" i="22"/>
  <c r="L52" i="22"/>
  <c r="K52" i="22"/>
  <c r="J52" i="22"/>
  <c r="L61" i="22"/>
  <c r="K61" i="22"/>
  <c r="J61" i="22"/>
  <c r="L71" i="22"/>
  <c r="K71" i="22"/>
  <c r="J71" i="22"/>
  <c r="L81" i="22"/>
  <c r="K81" i="22"/>
  <c r="J81" i="22"/>
  <c r="L90" i="22"/>
  <c r="K90" i="22"/>
  <c r="J90" i="22"/>
  <c r="L100" i="22"/>
  <c r="K100" i="22"/>
  <c r="J100" i="22"/>
  <c r="L110" i="22"/>
  <c r="K110" i="22"/>
  <c r="J110" i="22"/>
  <c r="L129" i="22"/>
  <c r="K129" i="22"/>
  <c r="J129" i="22"/>
  <c r="L139" i="22"/>
  <c r="I147" i="22"/>
  <c r="K139" i="22"/>
  <c r="J139" i="22"/>
  <c r="L149" i="22"/>
  <c r="K149" i="22"/>
  <c r="J149" i="22"/>
  <c r="L158" i="22"/>
  <c r="K158" i="22"/>
  <c r="J158" i="22"/>
  <c r="I10" i="21"/>
  <c r="H10" i="21"/>
  <c r="I16" i="21"/>
  <c r="H16" i="21"/>
  <c r="I34" i="21"/>
  <c r="H34" i="21"/>
  <c r="I47" i="21"/>
  <c r="H47" i="21"/>
  <c r="I60" i="21"/>
  <c r="H60" i="21"/>
  <c r="I73" i="21"/>
  <c r="H73" i="21"/>
  <c r="I86" i="21"/>
  <c r="H86" i="21"/>
  <c r="I99" i="21"/>
  <c r="H99" i="21"/>
  <c r="G120" i="21"/>
  <c r="I112" i="21"/>
  <c r="H112" i="21"/>
  <c r="I125" i="21"/>
  <c r="H125" i="21"/>
  <c r="I145" i="21"/>
  <c r="H145" i="21"/>
  <c r="L9" i="22"/>
  <c r="K9" i="22"/>
  <c r="J9" i="22"/>
  <c r="H161" i="21"/>
  <c r="I161" i="21"/>
  <c r="I29" i="21"/>
  <c r="H29" i="21"/>
  <c r="G50" i="21"/>
  <c r="I42" i="21"/>
  <c r="H42" i="21"/>
  <c r="I55" i="21"/>
  <c r="H55" i="21"/>
  <c r="I68" i="21"/>
  <c r="H68" i="21"/>
  <c r="I81" i="21"/>
  <c r="H81" i="21"/>
  <c r="I94" i="21"/>
  <c r="H94" i="21"/>
  <c r="I119" i="21"/>
  <c r="H119" i="21"/>
  <c r="I132" i="21"/>
  <c r="H132" i="21"/>
  <c r="I138" i="21"/>
  <c r="H138" i="21"/>
  <c r="I157" i="21"/>
  <c r="H157" i="21"/>
  <c r="L10" i="22"/>
  <c r="K10" i="22"/>
  <c r="J10" i="22"/>
  <c r="X19" i="22"/>
  <c r="W19" i="22"/>
  <c r="V19" i="22"/>
  <c r="L29" i="22"/>
  <c r="K29" i="22"/>
  <c r="J29" i="22"/>
  <c r="L39" i="22"/>
  <c r="K39" i="22"/>
  <c r="J39" i="22"/>
  <c r="L48" i="22"/>
  <c r="K48" i="22"/>
  <c r="J48" i="22"/>
  <c r="L58" i="22"/>
  <c r="K58" i="22"/>
  <c r="J58" i="22"/>
  <c r="L68" i="22"/>
  <c r="K68" i="22"/>
  <c r="J68" i="22"/>
  <c r="L87" i="22"/>
  <c r="K87" i="22"/>
  <c r="J87" i="22"/>
  <c r="L97" i="22"/>
  <c r="I105" i="22"/>
  <c r="K97" i="22"/>
  <c r="J97" i="22"/>
  <c r="L107" i="22"/>
  <c r="K107" i="22"/>
  <c r="J107" i="22"/>
  <c r="L116" i="22"/>
  <c r="K116" i="22"/>
  <c r="J116" i="22"/>
  <c r="L126" i="22"/>
  <c r="K126" i="22"/>
  <c r="J126" i="22"/>
  <c r="L136" i="22"/>
  <c r="K136" i="22"/>
  <c r="J136" i="22"/>
  <c r="L145" i="22"/>
  <c r="K145" i="22"/>
  <c r="J145" i="22"/>
  <c r="L155" i="22"/>
  <c r="K155" i="22"/>
  <c r="J155" i="22"/>
  <c r="I33" i="21"/>
  <c r="H33" i="21"/>
  <c r="H46" i="21"/>
  <c r="I46" i="21"/>
  <c r="I59" i="21"/>
  <c r="H59" i="21"/>
  <c r="I72" i="21"/>
  <c r="H72" i="21"/>
  <c r="H85" i="21"/>
  <c r="I85" i="21"/>
  <c r="G106" i="21"/>
  <c r="I98" i="21"/>
  <c r="H98" i="21"/>
  <c r="I111" i="21"/>
  <c r="H111" i="21"/>
  <c r="H124" i="21"/>
  <c r="I124" i="21"/>
  <c r="I152" i="21"/>
  <c r="H152" i="21"/>
  <c r="L15" i="22"/>
  <c r="K15" i="22"/>
  <c r="J15" i="22"/>
  <c r="K160" i="22"/>
  <c r="L160" i="22"/>
  <c r="J160" i="22"/>
  <c r="I137" i="21"/>
  <c r="H137" i="21"/>
  <c r="I143" i="21"/>
  <c r="H143" i="21"/>
  <c r="I150" i="21"/>
  <c r="H150" i="21"/>
  <c r="I156" i="21"/>
  <c r="H156" i="21"/>
  <c r="L14" i="22"/>
  <c r="J14" i="22"/>
  <c r="K14" i="22"/>
  <c r="L20" i="22"/>
  <c r="K20" i="22"/>
  <c r="J20" i="22"/>
  <c r="L24" i="22"/>
  <c r="J24" i="22"/>
  <c r="K24" i="22"/>
  <c r="L27" i="22"/>
  <c r="K27" i="22"/>
  <c r="J27" i="22"/>
  <c r="I35" i="22"/>
  <c r="L30" i="22"/>
  <c r="K30" i="22"/>
  <c r="J30" i="22"/>
  <c r="L33" i="22"/>
  <c r="J33" i="22"/>
  <c r="K33" i="22"/>
  <c r="L37" i="22"/>
  <c r="K37" i="22"/>
  <c r="J37" i="22"/>
  <c r="L40" i="22"/>
  <c r="K40" i="22"/>
  <c r="J40" i="22"/>
  <c r="L43" i="22"/>
  <c r="J43" i="22"/>
  <c r="K43" i="22"/>
  <c r="L46" i="22"/>
  <c r="K46" i="22"/>
  <c r="J46" i="22"/>
  <c r="L53" i="22"/>
  <c r="J53" i="22"/>
  <c r="K53" i="22"/>
  <c r="L56" i="22"/>
  <c r="K56" i="22"/>
  <c r="J56" i="22"/>
  <c r="L59" i="22"/>
  <c r="K59" i="22"/>
  <c r="J59" i="22"/>
  <c r="L62" i="22"/>
  <c r="J62" i="22"/>
  <c r="K62" i="22"/>
  <c r="L66" i="22"/>
  <c r="K66" i="22"/>
  <c r="J66" i="22"/>
  <c r="L69" i="22"/>
  <c r="I77" i="22"/>
  <c r="K69" i="22"/>
  <c r="J69" i="22"/>
  <c r="L72" i="22"/>
  <c r="J72" i="22"/>
  <c r="K72" i="22"/>
  <c r="L75" i="22"/>
  <c r="K75" i="22"/>
  <c r="J75" i="22"/>
  <c r="L79" i="22"/>
  <c r="K79" i="22"/>
  <c r="J79" i="22"/>
  <c r="J86" i="26"/>
  <c r="K86" i="26"/>
  <c r="I86" i="26"/>
  <c r="K154" i="26"/>
  <c r="J154" i="26"/>
  <c r="I154" i="26"/>
  <c r="K145" i="27"/>
  <c r="J145" i="27"/>
  <c r="I145" i="27"/>
  <c r="K87" i="26"/>
  <c r="J87" i="26"/>
  <c r="I87" i="26"/>
  <c r="K96" i="26"/>
  <c r="J96" i="26"/>
  <c r="I96" i="26"/>
  <c r="H104" i="26"/>
  <c r="K158" i="26"/>
  <c r="J158" i="26"/>
  <c r="I158" i="26"/>
  <c r="I8" i="26"/>
  <c r="K8" i="26"/>
  <c r="J8" i="26"/>
  <c r="I10" i="26"/>
  <c r="K10" i="26"/>
  <c r="J10" i="26"/>
  <c r="I12" i="26"/>
  <c r="H20" i="26"/>
  <c r="K12" i="26"/>
  <c r="J12" i="26"/>
  <c r="K100" i="26"/>
  <c r="J100" i="26"/>
  <c r="I100" i="26"/>
  <c r="K141" i="27"/>
  <c r="J141" i="27"/>
  <c r="I141" i="27"/>
  <c r="J31" i="28"/>
  <c r="L31" i="28"/>
  <c r="K31" i="28"/>
  <c r="I31" i="28"/>
  <c r="M31" i="28"/>
  <c r="I55" i="28"/>
  <c r="M55" i="28"/>
  <c r="L55" i="28"/>
  <c r="K55" i="28"/>
  <c r="J55" i="28"/>
  <c r="I37" i="28"/>
  <c r="M37" i="28"/>
  <c r="L37" i="28"/>
  <c r="K37" i="28"/>
  <c r="J37" i="28"/>
  <c r="J13" i="28"/>
  <c r="I13" i="28"/>
  <c r="L13" i="28"/>
  <c r="M13" i="28"/>
  <c r="K13" i="28"/>
  <c r="L33" i="28"/>
  <c r="K33" i="28"/>
  <c r="J33" i="28"/>
  <c r="I33" i="28"/>
  <c r="M33" i="28"/>
  <c r="I14" i="26"/>
  <c r="K14" i="26"/>
  <c r="J14" i="26"/>
  <c r="I16" i="26"/>
  <c r="K16" i="26"/>
  <c r="J16" i="26"/>
  <c r="I18" i="26"/>
  <c r="K18" i="26"/>
  <c r="J18" i="26"/>
  <c r="I23" i="26"/>
  <c r="K23" i="26"/>
  <c r="J23" i="26"/>
  <c r="I25" i="26"/>
  <c r="K25" i="26"/>
  <c r="J25" i="26"/>
  <c r="I27" i="26"/>
  <c r="K27" i="26"/>
  <c r="J27" i="26"/>
  <c r="I29" i="26"/>
  <c r="K29" i="26"/>
  <c r="J29" i="26"/>
  <c r="I31" i="26"/>
  <c r="K31" i="26"/>
  <c r="J31" i="26"/>
  <c r="I33" i="26"/>
  <c r="K33" i="26"/>
  <c r="J33" i="26"/>
  <c r="I36" i="26"/>
  <c r="K36" i="26"/>
  <c r="J36" i="26"/>
  <c r="I38" i="26"/>
  <c r="K38" i="26"/>
  <c r="J38" i="26"/>
  <c r="I40" i="26"/>
  <c r="H48" i="26"/>
  <c r="K40" i="26"/>
  <c r="J40" i="26"/>
  <c r="I42" i="26"/>
  <c r="K42" i="26"/>
  <c r="J42" i="26"/>
  <c r="I44" i="26"/>
  <c r="K44" i="26"/>
  <c r="J44" i="26"/>
  <c r="I46" i="26"/>
  <c r="K46" i="26"/>
  <c r="J46" i="26"/>
  <c r="I51" i="26"/>
  <c r="K51" i="26"/>
  <c r="J51" i="26"/>
  <c r="I53" i="26"/>
  <c r="K53" i="26"/>
  <c r="J53" i="26"/>
  <c r="I55" i="26"/>
  <c r="K55" i="26"/>
  <c r="J55" i="26"/>
  <c r="I57" i="26"/>
  <c r="K57" i="26"/>
  <c r="J57" i="26"/>
  <c r="I59" i="26"/>
  <c r="K59" i="26"/>
  <c r="J59" i="26"/>
  <c r="I61" i="26"/>
  <c r="K61" i="26"/>
  <c r="J61" i="26"/>
  <c r="I64" i="26"/>
  <c r="K64" i="26"/>
  <c r="J64" i="26"/>
  <c r="I66" i="26"/>
  <c r="K66" i="26"/>
  <c r="J66" i="26"/>
  <c r="I68" i="26"/>
  <c r="H76" i="26"/>
  <c r="K68" i="26"/>
  <c r="J68" i="26"/>
  <c r="I70" i="26"/>
  <c r="K70" i="26"/>
  <c r="J70" i="26"/>
  <c r="I72" i="26"/>
  <c r="K72" i="26"/>
  <c r="J72" i="26"/>
  <c r="I74" i="26"/>
  <c r="K74" i="26"/>
  <c r="J74" i="26"/>
  <c r="I79" i="26"/>
  <c r="K79" i="26"/>
  <c r="J79" i="26"/>
  <c r="I81" i="26"/>
  <c r="K81" i="26"/>
  <c r="J81" i="26"/>
  <c r="I83" i="26"/>
  <c r="K83" i="26"/>
  <c r="J83" i="26"/>
  <c r="I85" i="26"/>
  <c r="K85" i="26"/>
  <c r="J85" i="26"/>
  <c r="J143" i="27"/>
  <c r="I143" i="27"/>
  <c r="K143" i="27"/>
  <c r="M123" i="28"/>
  <c r="L123" i="28"/>
  <c r="J123" i="28"/>
  <c r="K123" i="28"/>
  <c r="I123" i="28"/>
  <c r="K8" i="27"/>
  <c r="J8" i="27"/>
  <c r="I8" i="27"/>
  <c r="K10" i="27"/>
  <c r="J10" i="27"/>
  <c r="I10" i="27"/>
  <c r="K12" i="27"/>
  <c r="J12" i="27"/>
  <c r="I12" i="27"/>
  <c r="H20" i="27"/>
  <c r="K14" i="27"/>
  <c r="J14" i="27"/>
  <c r="I14" i="27"/>
  <c r="K16" i="27"/>
  <c r="J16" i="27"/>
  <c r="I16" i="27"/>
  <c r="M10" i="28"/>
  <c r="L10" i="28"/>
  <c r="I10" i="28"/>
  <c r="K10" i="28"/>
  <c r="J10" i="28"/>
  <c r="M23" i="28"/>
  <c r="L23" i="28"/>
  <c r="K23" i="28"/>
  <c r="I23" i="28"/>
  <c r="J23" i="28"/>
  <c r="K8" i="28"/>
  <c r="J8" i="28"/>
  <c r="M8" i="28"/>
  <c r="L8" i="28"/>
  <c r="I8" i="28"/>
  <c r="V31" i="35"/>
  <c r="W31" i="35"/>
  <c r="AL13" i="35"/>
  <c r="AK13" i="35"/>
  <c r="AJ13" i="35"/>
  <c r="K109" i="33"/>
  <c r="L97" i="33"/>
  <c r="I26" i="37"/>
  <c r="J26" i="37"/>
  <c r="J6" i="37"/>
  <c r="I6" i="37"/>
  <c r="AR16" i="35"/>
  <c r="AV16" i="35"/>
  <c r="AT16" i="35"/>
  <c r="AS16" i="35"/>
  <c r="AU16" i="35"/>
  <c r="AR13" i="35"/>
  <c r="AT13" i="35"/>
  <c r="AS13" i="35"/>
  <c r="AV13" i="35"/>
  <c r="AU13" i="35"/>
  <c r="AL14" i="35"/>
  <c r="AK14" i="35"/>
  <c r="AJ14" i="35"/>
  <c r="V33" i="35"/>
  <c r="W33" i="35"/>
  <c r="Q30" i="36"/>
  <c r="P30" i="36"/>
  <c r="Q43" i="36"/>
  <c r="P43" i="36"/>
  <c r="AL12" i="35"/>
  <c r="AK12" i="35"/>
  <c r="AJ12" i="35"/>
  <c r="AR10" i="35"/>
  <c r="AV10" i="35"/>
  <c r="AU10" i="35"/>
  <c r="AT10" i="35"/>
  <c r="AS10" i="35"/>
  <c r="W30" i="35"/>
  <c r="V30" i="35"/>
  <c r="I35" i="35"/>
  <c r="H35" i="35"/>
  <c r="V37" i="35"/>
  <c r="W37" i="35"/>
  <c r="Q13" i="36"/>
  <c r="P13" i="36"/>
  <c r="P20" i="36"/>
  <c r="Q20" i="36"/>
  <c r="Q44" i="36"/>
  <c r="P44" i="36"/>
  <c r="W32" i="35"/>
  <c r="V32" i="35"/>
  <c r="I38" i="35"/>
  <c r="H38" i="35"/>
  <c r="I31" i="35"/>
  <c r="H31" i="35"/>
  <c r="V40" i="35"/>
  <c r="W40" i="35"/>
  <c r="I34" i="35"/>
  <c r="H34" i="35"/>
  <c r="J24" i="36"/>
  <c r="I24" i="36"/>
  <c r="J6" i="40"/>
  <c r="I6" i="40"/>
  <c r="H6" i="40"/>
  <c r="F20" i="33"/>
  <c r="F33" i="33"/>
  <c r="F39" i="33"/>
  <c r="F57" i="33"/>
  <c r="F59" i="33"/>
  <c r="N97" i="33"/>
  <c r="N99" i="33"/>
  <c r="AR8" i="35"/>
  <c r="AU8" i="35"/>
  <c r="AT8" i="35"/>
  <c r="AV8" i="35"/>
  <c r="AS8" i="35"/>
  <c r="V9" i="35"/>
  <c r="AL9" i="35"/>
  <c r="AK9" i="35"/>
  <c r="AJ9" i="35"/>
  <c r="N12" i="35"/>
  <c r="I30" i="35"/>
  <c r="H30" i="35"/>
  <c r="AL34" i="35"/>
  <c r="AK34" i="35"/>
  <c r="Q9" i="36"/>
  <c r="P9" i="36"/>
  <c r="P16" i="36"/>
  <c r="Q16" i="36"/>
  <c r="J20" i="31"/>
  <c r="F21" i="31"/>
  <c r="L21" i="31"/>
  <c r="N103" i="33"/>
  <c r="AK32" i="35"/>
  <c r="AL32" i="35"/>
  <c r="J19" i="36"/>
  <c r="I19" i="36"/>
  <c r="J42" i="36"/>
  <c r="I42" i="36"/>
  <c r="P11" i="37"/>
  <c r="Q11" i="37"/>
  <c r="P14" i="37"/>
  <c r="Q14" i="37"/>
  <c r="F9" i="33"/>
  <c r="F10" i="33"/>
  <c r="F11" i="33"/>
  <c r="F12" i="33"/>
  <c r="F13" i="33"/>
  <c r="F14" i="33"/>
  <c r="F15" i="33"/>
  <c r="F16" i="33"/>
  <c r="F17" i="33"/>
  <c r="F18" i="33"/>
  <c r="F19" i="33"/>
  <c r="F31" i="33"/>
  <c r="F37" i="33"/>
  <c r="N10" i="35"/>
  <c r="AB10" i="35"/>
  <c r="AL39" i="35"/>
  <c r="AK39" i="35"/>
  <c r="AL30" i="35"/>
  <c r="AK30" i="35"/>
  <c r="Q22" i="36"/>
  <c r="P22" i="36"/>
  <c r="I7" i="39"/>
  <c r="H7" i="39"/>
  <c r="G7" i="39"/>
  <c r="J32" i="36"/>
  <c r="I32" i="36"/>
  <c r="M8" i="39"/>
  <c r="L8" i="39"/>
  <c r="K8" i="39"/>
  <c r="H125" i="39"/>
  <c r="I125" i="39"/>
  <c r="G125" i="39"/>
  <c r="J9" i="40"/>
  <c r="I9" i="40"/>
  <c r="H9" i="40"/>
  <c r="M9" i="40"/>
  <c r="J22" i="36"/>
  <c r="I22" i="36"/>
  <c r="N128" i="39"/>
  <c r="M128" i="39"/>
  <c r="K128" i="39"/>
  <c r="O128" i="39"/>
  <c r="L128" i="39"/>
  <c r="N10" i="41"/>
  <c r="M10" i="41"/>
  <c r="L10" i="41"/>
  <c r="J17" i="36"/>
  <c r="I17" i="36"/>
  <c r="J21" i="36"/>
  <c r="I21" i="36"/>
  <c r="J44" i="36"/>
  <c r="I44" i="36"/>
  <c r="J12" i="40"/>
  <c r="I12" i="40"/>
  <c r="H12" i="40"/>
  <c r="O136" i="41"/>
  <c r="N136" i="41"/>
  <c r="M136" i="41"/>
  <c r="L136" i="41"/>
  <c r="K136" i="41"/>
  <c r="J26" i="36"/>
  <c r="I26" i="36"/>
  <c r="J30" i="36"/>
  <c r="I30" i="36"/>
  <c r="H6" i="39"/>
  <c r="G6" i="39"/>
  <c r="O127" i="39"/>
  <c r="N127" i="39"/>
  <c r="J129" i="39"/>
  <c r="L127" i="39"/>
  <c r="M127" i="39"/>
  <c r="K127" i="39"/>
  <c r="N134" i="40"/>
  <c r="M134" i="40"/>
  <c r="L134" i="40"/>
  <c r="K134" i="40"/>
  <c r="O134" i="40"/>
  <c r="F10" i="41"/>
  <c r="N137" i="41"/>
  <c r="M137" i="41"/>
  <c r="L137" i="41"/>
  <c r="K137" i="41"/>
  <c r="O137" i="41"/>
  <c r="O138" i="42"/>
  <c r="N138" i="42"/>
  <c r="M138" i="42"/>
  <c r="L138" i="42"/>
  <c r="K138" i="42"/>
  <c r="J23" i="36"/>
  <c r="I23" i="36"/>
  <c r="J25" i="36"/>
  <c r="I25" i="36"/>
  <c r="J27" i="36"/>
  <c r="I27" i="36"/>
  <c r="J36" i="36"/>
  <c r="I36" i="36"/>
  <c r="J48" i="36"/>
  <c r="I48" i="36"/>
  <c r="R6" i="39"/>
  <c r="Q6" i="39"/>
  <c r="P6" i="39"/>
  <c r="O6" i="39"/>
  <c r="E11" i="39"/>
  <c r="H128" i="39"/>
  <c r="G128" i="39"/>
  <c r="I128" i="39"/>
  <c r="J7" i="40"/>
  <c r="I7" i="40"/>
  <c r="H7" i="40"/>
  <c r="J10" i="40"/>
  <c r="I10" i="40"/>
  <c r="H10" i="40"/>
  <c r="C16" i="43"/>
  <c r="I38" i="36"/>
  <c r="J38" i="36"/>
  <c r="I50" i="36"/>
  <c r="J50" i="36"/>
  <c r="I9" i="39"/>
  <c r="H9" i="39"/>
  <c r="G9" i="39"/>
  <c r="F11" i="39"/>
  <c r="M10" i="39"/>
  <c r="L10" i="39"/>
  <c r="K10" i="39"/>
  <c r="I138" i="40"/>
  <c r="H138" i="40"/>
  <c r="G138" i="40"/>
  <c r="AL36" i="35"/>
  <c r="AK36" i="35"/>
  <c r="AK38" i="35"/>
  <c r="AL38" i="35"/>
  <c r="AL40" i="35"/>
  <c r="AK40" i="35"/>
  <c r="J6" i="36"/>
  <c r="I6" i="36"/>
  <c r="J8" i="36"/>
  <c r="I8" i="36"/>
  <c r="I10" i="36"/>
  <c r="J10" i="36"/>
  <c r="J12" i="36"/>
  <c r="I12" i="36"/>
  <c r="I14" i="36"/>
  <c r="J14" i="36"/>
  <c r="J28" i="36"/>
  <c r="I28" i="36"/>
  <c r="J8" i="40"/>
  <c r="I8" i="40"/>
  <c r="H8" i="40"/>
  <c r="M8" i="40"/>
  <c r="J11" i="40"/>
  <c r="I11" i="40"/>
  <c r="H11" i="40"/>
  <c r="N9" i="42"/>
  <c r="L9" i="42"/>
  <c r="P10" i="42"/>
  <c r="T10" i="42"/>
  <c r="AA20" i="42" s="1"/>
  <c r="S10" i="42"/>
  <c r="R10" i="42"/>
  <c r="Q10" i="42"/>
  <c r="N12" i="43"/>
  <c r="L12" i="43"/>
  <c r="M12" i="43"/>
  <c r="O7" i="39"/>
  <c r="R7" i="39"/>
  <c r="Q7" i="39"/>
  <c r="P7" i="39"/>
  <c r="T7" i="39"/>
  <c r="S7" i="39"/>
  <c r="O9" i="39"/>
  <c r="R9" i="39"/>
  <c r="Q9" i="39"/>
  <c r="P9" i="39"/>
  <c r="N11" i="39"/>
  <c r="T9" i="39"/>
  <c r="S9" i="39"/>
  <c r="F10" i="40"/>
  <c r="I137" i="40"/>
  <c r="H137" i="40"/>
  <c r="G137" i="40"/>
  <c r="T11" i="41"/>
  <c r="S11" i="41"/>
  <c r="R11" i="41"/>
  <c r="Q11" i="41"/>
  <c r="P11" i="41"/>
  <c r="T12" i="41"/>
  <c r="S12" i="41"/>
  <c r="R12" i="41"/>
  <c r="Q12" i="41"/>
  <c r="P12" i="41"/>
  <c r="I135" i="41"/>
  <c r="H135" i="41"/>
  <c r="G135" i="41"/>
  <c r="N10" i="43"/>
  <c r="M10" i="43"/>
  <c r="L10" i="43"/>
  <c r="I134" i="41"/>
  <c r="H134" i="41"/>
  <c r="G134" i="41"/>
  <c r="P8" i="42"/>
  <c r="T8" i="42"/>
  <c r="S8" i="42"/>
  <c r="R8" i="42"/>
  <c r="Q8" i="42"/>
  <c r="F11" i="42"/>
  <c r="H13" i="43"/>
  <c r="J13" i="43"/>
  <c r="I13" i="43"/>
  <c r="N15" i="43"/>
  <c r="L15" i="43"/>
  <c r="M15" i="43"/>
  <c r="O139" i="44"/>
  <c r="N139" i="44"/>
  <c r="M139" i="44"/>
  <c r="L139" i="44"/>
  <c r="L6" i="39"/>
  <c r="K6" i="39"/>
  <c r="K7" i="39"/>
  <c r="M7" i="39"/>
  <c r="L7" i="39"/>
  <c r="I8" i="39"/>
  <c r="G8" i="39"/>
  <c r="H8" i="39"/>
  <c r="K9" i="39"/>
  <c r="J11" i="39"/>
  <c r="L9" i="39"/>
  <c r="M9" i="39"/>
  <c r="I10" i="39"/>
  <c r="G10" i="39"/>
  <c r="H10" i="39"/>
  <c r="F7" i="42"/>
  <c r="F15" i="43"/>
  <c r="O8" i="39"/>
  <c r="T8" i="39"/>
  <c r="S8" i="39"/>
  <c r="R8" i="39"/>
  <c r="Q8" i="39"/>
  <c r="P8" i="39"/>
  <c r="D11" i="39"/>
  <c r="O10" i="39"/>
  <c r="T10" i="39"/>
  <c r="S10" i="39"/>
  <c r="R10" i="39"/>
  <c r="P10" i="39"/>
  <c r="Q10" i="39"/>
  <c r="N10" i="40"/>
  <c r="M10" i="40"/>
  <c r="L10" i="40"/>
  <c r="F9" i="42"/>
  <c r="P12" i="42"/>
  <c r="T12" i="42"/>
  <c r="S12" i="42"/>
  <c r="R12" i="42"/>
  <c r="Q12" i="42"/>
  <c r="C11" i="39"/>
  <c r="M135" i="40"/>
  <c r="L135" i="40"/>
  <c r="K135" i="40"/>
  <c r="O135" i="40"/>
  <c r="N135" i="40"/>
  <c r="F11" i="41"/>
  <c r="N11" i="41"/>
  <c r="M11" i="41"/>
  <c r="L11" i="41"/>
  <c r="F12" i="41"/>
  <c r="N12" i="41"/>
  <c r="M12" i="41"/>
  <c r="L12" i="41"/>
  <c r="I136" i="41"/>
  <c r="H136" i="41"/>
  <c r="G136" i="41"/>
  <c r="M138" i="41"/>
  <c r="L138" i="41"/>
  <c r="K138" i="41"/>
  <c r="N138" i="41"/>
  <c r="O138" i="41"/>
  <c r="J11" i="42"/>
  <c r="I11" i="42"/>
  <c r="H11" i="42"/>
  <c r="N12" i="42"/>
  <c r="M12" i="42"/>
  <c r="L12" i="42"/>
  <c r="F11" i="43"/>
  <c r="F10" i="44"/>
  <c r="O140" i="44"/>
  <c r="N140" i="44"/>
  <c r="M140" i="44"/>
  <c r="L140" i="44"/>
  <c r="D16" i="45"/>
  <c r="Q11" i="40"/>
  <c r="P11" i="40"/>
  <c r="T11" i="40"/>
  <c r="S11" i="40"/>
  <c r="R11" i="40"/>
  <c r="Q12" i="40"/>
  <c r="P12" i="40"/>
  <c r="T12" i="40"/>
  <c r="S12" i="40"/>
  <c r="R12" i="40"/>
  <c r="H134" i="40"/>
  <c r="G134" i="40"/>
  <c r="I134" i="40"/>
  <c r="L136" i="40"/>
  <c r="K136" i="40"/>
  <c r="O136" i="40"/>
  <c r="N136" i="40"/>
  <c r="M136" i="40"/>
  <c r="H137" i="41"/>
  <c r="G137" i="41"/>
  <c r="I137" i="41"/>
  <c r="P11" i="42"/>
  <c r="R11" i="42"/>
  <c r="Q11" i="42"/>
  <c r="T11" i="42"/>
  <c r="S11" i="42"/>
  <c r="F12" i="42"/>
  <c r="K136" i="42"/>
  <c r="M136" i="42"/>
  <c r="L136" i="42"/>
  <c r="O136" i="42"/>
  <c r="N136" i="42"/>
  <c r="I138" i="42"/>
  <c r="H138" i="42"/>
  <c r="G138" i="42"/>
  <c r="N13" i="43"/>
  <c r="L13" i="43"/>
  <c r="M13" i="43"/>
  <c r="D8" i="46"/>
  <c r="G135" i="40"/>
  <c r="H135" i="40"/>
  <c r="I135" i="40"/>
  <c r="K137" i="40"/>
  <c r="O137" i="40"/>
  <c r="N137" i="40"/>
  <c r="M137" i="40"/>
  <c r="L137" i="40"/>
  <c r="H11" i="41"/>
  <c r="J11" i="41"/>
  <c r="I11" i="41"/>
  <c r="H12" i="41"/>
  <c r="I12" i="41"/>
  <c r="J12" i="41"/>
  <c r="G138" i="41"/>
  <c r="I138" i="41"/>
  <c r="H138" i="41"/>
  <c r="L135" i="42"/>
  <c r="K135" i="42"/>
  <c r="O135" i="42"/>
  <c r="N135" i="42"/>
  <c r="M135" i="42"/>
  <c r="G137" i="42"/>
  <c r="I137" i="42"/>
  <c r="H137" i="42"/>
  <c r="I143" i="43"/>
  <c r="G143" i="43"/>
  <c r="H143" i="43"/>
  <c r="K143" i="43" s="1"/>
  <c r="H145" i="43"/>
  <c r="K145" i="43" s="1"/>
  <c r="G145" i="43"/>
  <c r="I145" i="43"/>
  <c r="L15" i="44"/>
  <c r="N15" i="44"/>
  <c r="M15" i="44"/>
  <c r="F11" i="40"/>
  <c r="N11" i="40"/>
  <c r="M11" i="40"/>
  <c r="L11" i="40"/>
  <c r="F12" i="40"/>
  <c r="N12" i="40"/>
  <c r="M12" i="40"/>
  <c r="L12" i="40"/>
  <c r="I136" i="40"/>
  <c r="H136" i="40"/>
  <c r="G136" i="40"/>
  <c r="O138" i="40"/>
  <c r="N138" i="40"/>
  <c r="M138" i="40"/>
  <c r="L138" i="40"/>
  <c r="K138" i="40"/>
  <c r="O135" i="41"/>
  <c r="N135" i="41"/>
  <c r="M135" i="41"/>
  <c r="L135" i="41"/>
  <c r="K135" i="41"/>
  <c r="N11" i="42"/>
  <c r="L11" i="42"/>
  <c r="M11" i="42"/>
  <c r="J12" i="42"/>
  <c r="I12" i="42"/>
  <c r="H12" i="42"/>
  <c r="I136" i="42"/>
  <c r="H136" i="42"/>
  <c r="G136" i="42"/>
  <c r="N11" i="43"/>
  <c r="L11" i="43"/>
  <c r="M11" i="43"/>
  <c r="N14" i="43"/>
  <c r="L14" i="43"/>
  <c r="M14" i="43"/>
  <c r="G136" i="43"/>
  <c r="F146" i="43"/>
  <c r="I136" i="43"/>
  <c r="H136" i="43"/>
  <c r="K136" i="43" s="1"/>
  <c r="H6" i="44"/>
  <c r="G16" i="44"/>
  <c r="J6" i="44"/>
  <c r="I6" i="44"/>
  <c r="J12" i="44"/>
  <c r="I12" i="44"/>
  <c r="H12" i="44"/>
  <c r="F146" i="44"/>
  <c r="I136" i="44"/>
  <c r="H136" i="44"/>
  <c r="K136" i="44" s="1"/>
  <c r="G136" i="44"/>
  <c r="I135" i="42"/>
  <c r="H135" i="42"/>
  <c r="G135" i="42"/>
  <c r="N137" i="42"/>
  <c r="M137" i="42"/>
  <c r="L137" i="42"/>
  <c r="K137" i="42"/>
  <c r="O137" i="42"/>
  <c r="I138" i="43"/>
  <c r="G138" i="43"/>
  <c r="H138" i="43"/>
  <c r="I140" i="43"/>
  <c r="G140" i="43"/>
  <c r="H140" i="43"/>
  <c r="K140" i="43" s="1"/>
  <c r="J10" i="44"/>
  <c r="I10" i="44"/>
  <c r="H10" i="44"/>
  <c r="H7" i="44"/>
  <c r="J7" i="44"/>
  <c r="I7" i="44"/>
  <c r="F8" i="44"/>
  <c r="L14" i="44"/>
  <c r="N14" i="44"/>
  <c r="M14" i="44"/>
  <c r="H141" i="45"/>
  <c r="G141" i="45"/>
  <c r="I141" i="45"/>
  <c r="D11" i="47"/>
  <c r="G142" i="43"/>
  <c r="H142" i="43"/>
  <c r="K142" i="43" s="1"/>
  <c r="I142" i="43"/>
  <c r="C16" i="44"/>
  <c r="T6" i="44"/>
  <c r="O16" i="44"/>
  <c r="R6" i="44"/>
  <c r="Q6" i="44"/>
  <c r="P6" i="44"/>
  <c r="S6" i="44"/>
  <c r="J8" i="44"/>
  <c r="I8" i="44"/>
  <c r="H8" i="44"/>
  <c r="H139" i="43"/>
  <c r="K139" i="43" s="1"/>
  <c r="G139" i="43"/>
  <c r="I139" i="43"/>
  <c r="I144" i="43"/>
  <c r="H144" i="43"/>
  <c r="K144" i="43" s="1"/>
  <c r="G144" i="43"/>
  <c r="D16" i="44"/>
  <c r="F12" i="44"/>
  <c r="L13" i="44"/>
  <c r="N13" i="44"/>
  <c r="M13" i="44"/>
  <c r="F6" i="44"/>
  <c r="E16" i="44"/>
  <c r="F16" i="44" s="1"/>
  <c r="N6" i="44"/>
  <c r="L6" i="44"/>
  <c r="K16" i="44"/>
  <c r="M6" i="44"/>
  <c r="F7" i="44"/>
  <c r="L7" i="44"/>
  <c r="M7" i="44"/>
  <c r="N7" i="44"/>
  <c r="R8" i="44"/>
  <c r="S8" i="44"/>
  <c r="Q8" i="44"/>
  <c r="P8" i="44"/>
  <c r="T8" i="44"/>
  <c r="L9" i="44"/>
  <c r="N9" i="44"/>
  <c r="M9" i="44"/>
  <c r="R10" i="44"/>
  <c r="S10" i="44"/>
  <c r="Q10" i="44"/>
  <c r="P10" i="44"/>
  <c r="T10" i="44"/>
  <c r="L11" i="44"/>
  <c r="N11" i="44"/>
  <c r="M11" i="44"/>
  <c r="R12" i="44"/>
  <c r="S12" i="44"/>
  <c r="Q12" i="44"/>
  <c r="P12" i="44"/>
  <c r="T12" i="44"/>
  <c r="F13" i="44"/>
  <c r="F14" i="44"/>
  <c r="F15" i="44"/>
  <c r="I137" i="44"/>
  <c r="H137" i="44"/>
  <c r="K137" i="44" s="1"/>
  <c r="G137" i="44"/>
  <c r="I138" i="44"/>
  <c r="H138" i="44"/>
  <c r="K138" i="44" s="1"/>
  <c r="G138" i="44"/>
  <c r="H138" i="45"/>
  <c r="I138" i="45"/>
  <c r="G138" i="45"/>
  <c r="I144" i="45"/>
  <c r="H144" i="45"/>
  <c r="G144" i="45"/>
  <c r="D20" i="47"/>
  <c r="F9" i="44"/>
  <c r="F11" i="44"/>
  <c r="J13" i="44"/>
  <c r="I13" i="44"/>
  <c r="H13" i="44"/>
  <c r="R13" i="44"/>
  <c r="P13" i="44"/>
  <c r="S13" i="44"/>
  <c r="Q13" i="44"/>
  <c r="T13" i="44"/>
  <c r="J14" i="44"/>
  <c r="I14" i="44"/>
  <c r="H14" i="44"/>
  <c r="R14" i="44"/>
  <c r="P14" i="44"/>
  <c r="S14" i="44"/>
  <c r="Q14" i="44"/>
  <c r="T14" i="44"/>
  <c r="J15" i="44"/>
  <c r="I15" i="44"/>
  <c r="H15" i="44"/>
  <c r="R15" i="44"/>
  <c r="P15" i="44"/>
  <c r="S15" i="44"/>
  <c r="Q15" i="44"/>
  <c r="T15" i="44"/>
  <c r="N141" i="44"/>
  <c r="O141" i="44"/>
  <c r="M141" i="44"/>
  <c r="L141" i="44"/>
  <c r="D17" i="46"/>
  <c r="H9" i="44"/>
  <c r="J9" i="44"/>
  <c r="I9" i="44"/>
  <c r="H11" i="44"/>
  <c r="J11" i="44"/>
  <c r="I11" i="44"/>
  <c r="I145" i="44"/>
  <c r="H145" i="44"/>
  <c r="K145" i="44" s="1"/>
  <c r="G145" i="44"/>
  <c r="R7" i="44"/>
  <c r="T7" i="44"/>
  <c r="S7" i="44"/>
  <c r="Q7" i="44"/>
  <c r="P7" i="44"/>
  <c r="L8" i="44"/>
  <c r="M8" i="44"/>
  <c r="N8" i="44"/>
  <c r="R9" i="44"/>
  <c r="T9" i="44"/>
  <c r="S9" i="44"/>
  <c r="P9" i="44"/>
  <c r="Q9" i="44"/>
  <c r="L10" i="44"/>
  <c r="N10" i="44"/>
  <c r="M10" i="44"/>
  <c r="R11" i="44"/>
  <c r="T11" i="44"/>
  <c r="S11" i="44"/>
  <c r="Q11" i="44"/>
  <c r="P11" i="44"/>
  <c r="L12" i="44"/>
  <c r="N12" i="44"/>
  <c r="M12" i="44"/>
  <c r="I139" i="45"/>
  <c r="G139" i="45"/>
  <c r="H139" i="45"/>
  <c r="D14" i="48"/>
  <c r="T7" i="45"/>
  <c r="S7" i="45"/>
  <c r="Q7" i="45"/>
  <c r="R7" i="45"/>
  <c r="P7" i="45"/>
  <c r="T9" i="45"/>
  <c r="S9" i="45"/>
  <c r="Q9" i="45"/>
  <c r="R9" i="45"/>
  <c r="P9" i="45"/>
  <c r="T11" i="45"/>
  <c r="S11" i="45"/>
  <c r="Q11" i="45"/>
  <c r="R11" i="45"/>
  <c r="P11" i="45"/>
  <c r="T13" i="45"/>
  <c r="S13" i="45"/>
  <c r="Q13" i="45"/>
  <c r="R13" i="45"/>
  <c r="P13" i="45"/>
  <c r="T15" i="45"/>
  <c r="S15" i="45"/>
  <c r="Q15" i="45"/>
  <c r="R15" i="45"/>
  <c r="P15" i="45"/>
  <c r="D146" i="44"/>
  <c r="O136" i="44"/>
  <c r="M136" i="44"/>
  <c r="L136" i="44"/>
  <c r="J146" i="44"/>
  <c r="N136" i="44"/>
  <c r="H140" i="44"/>
  <c r="K140" i="44" s="1"/>
  <c r="G140" i="44"/>
  <c r="I140" i="44"/>
  <c r="H141" i="44"/>
  <c r="K141" i="44" s="1"/>
  <c r="I141" i="44"/>
  <c r="G141" i="44"/>
  <c r="D11" i="46"/>
  <c r="D20" i="46"/>
  <c r="D14" i="47"/>
  <c r="D8" i="48"/>
  <c r="D17" i="48"/>
  <c r="I143" i="44"/>
  <c r="H143" i="44"/>
  <c r="K143" i="44" s="1"/>
  <c r="G143" i="44"/>
  <c r="C146" i="45"/>
  <c r="O138" i="44"/>
  <c r="N138" i="44"/>
  <c r="M138" i="44"/>
  <c r="L138" i="44"/>
  <c r="M142" i="44"/>
  <c r="O142" i="44"/>
  <c r="N142" i="44"/>
  <c r="L142" i="44"/>
  <c r="I144" i="44"/>
  <c r="H144" i="44"/>
  <c r="K144" i="44" s="1"/>
  <c r="G144" i="44"/>
  <c r="C16" i="45"/>
  <c r="T6" i="45"/>
  <c r="S6" i="45"/>
  <c r="Q6" i="45"/>
  <c r="O16" i="45"/>
  <c r="R6" i="45"/>
  <c r="P6" i="45"/>
  <c r="T8" i="45"/>
  <c r="S8" i="45"/>
  <c r="Q8" i="45"/>
  <c r="R8" i="45"/>
  <c r="P8" i="45"/>
  <c r="T10" i="45"/>
  <c r="S10" i="45"/>
  <c r="Q10" i="45"/>
  <c r="R10" i="45"/>
  <c r="P10" i="45"/>
  <c r="T12" i="45"/>
  <c r="S12" i="45"/>
  <c r="Q12" i="45"/>
  <c r="R12" i="45"/>
  <c r="P12" i="45"/>
  <c r="T14" i="45"/>
  <c r="S14" i="45"/>
  <c r="Q14" i="45"/>
  <c r="R14" i="45"/>
  <c r="P14" i="45"/>
  <c r="E146" i="45"/>
  <c r="D14" i="46"/>
  <c r="D8" i="47"/>
  <c r="D17" i="47"/>
  <c r="D11" i="48"/>
  <c r="D20" i="48"/>
  <c r="E16" i="45"/>
  <c r="F16" i="45" s="1"/>
  <c r="F6" i="45"/>
  <c r="N6" i="45"/>
  <c r="M6" i="45"/>
  <c r="K16" i="45"/>
  <c r="L6" i="45"/>
  <c r="F7" i="45"/>
  <c r="N7" i="45"/>
  <c r="M7" i="45"/>
  <c r="L7" i="45"/>
  <c r="F8" i="45"/>
  <c r="N8" i="45"/>
  <c r="M8" i="45"/>
  <c r="L8" i="45"/>
  <c r="F9" i="45"/>
  <c r="N9" i="45"/>
  <c r="M9" i="45"/>
  <c r="L9" i="45"/>
  <c r="F10" i="45"/>
  <c r="N10" i="45"/>
  <c r="M10" i="45"/>
  <c r="L10" i="45"/>
  <c r="F11" i="45"/>
  <c r="N11" i="45"/>
  <c r="M11" i="45"/>
  <c r="L11" i="45"/>
  <c r="F12" i="45"/>
  <c r="N12" i="45"/>
  <c r="M12" i="45"/>
  <c r="L12" i="45"/>
  <c r="F13" i="45"/>
  <c r="N13" i="45"/>
  <c r="M13" i="45"/>
  <c r="L13" i="45"/>
  <c r="F14" i="45"/>
  <c r="N14" i="45"/>
  <c r="M14" i="45"/>
  <c r="L14" i="45"/>
  <c r="F15" i="45"/>
  <c r="N15" i="45"/>
  <c r="M15" i="45"/>
  <c r="L15" i="45"/>
  <c r="D9" i="46"/>
  <c r="D12" i="46"/>
  <c r="D15" i="46"/>
  <c r="D18" i="46"/>
  <c r="D21" i="46"/>
  <c r="D9" i="47"/>
  <c r="D12" i="47"/>
  <c r="D15" i="47"/>
  <c r="D18" i="47"/>
  <c r="D21" i="47"/>
  <c r="D9" i="48"/>
  <c r="D12" i="48"/>
  <c r="D15" i="48"/>
  <c r="D18" i="48"/>
  <c r="D21" i="48"/>
  <c r="H6" i="45"/>
  <c r="G16" i="45"/>
  <c r="J6" i="45"/>
  <c r="I6" i="45"/>
  <c r="H7" i="45"/>
  <c r="I7" i="45"/>
  <c r="J7" i="45"/>
  <c r="H8" i="45"/>
  <c r="J8" i="45"/>
  <c r="I8" i="45"/>
  <c r="H9" i="45"/>
  <c r="I9" i="45"/>
  <c r="J9" i="45"/>
  <c r="H10" i="45"/>
  <c r="J10" i="45"/>
  <c r="I10" i="45"/>
  <c r="H11" i="45"/>
  <c r="I11" i="45"/>
  <c r="J11" i="45"/>
  <c r="H12" i="45"/>
  <c r="J12" i="45"/>
  <c r="I12" i="45"/>
  <c r="H13" i="45"/>
  <c r="I13" i="45"/>
  <c r="J13" i="45"/>
  <c r="H14" i="45"/>
  <c r="J14" i="45"/>
  <c r="I14" i="45"/>
  <c r="H15" i="45"/>
  <c r="I15" i="45"/>
  <c r="J15" i="45"/>
  <c r="D10" i="46"/>
  <c r="D13" i="46"/>
  <c r="D16" i="46"/>
  <c r="D19" i="46"/>
  <c r="D10" i="47"/>
  <c r="D13" i="47"/>
  <c r="D16" i="47"/>
  <c r="D19" i="47"/>
  <c r="D10" i="48"/>
  <c r="D13" i="48"/>
  <c r="D16" i="48"/>
  <c r="D19" i="48"/>
  <c r="H18" i="2"/>
  <c r="L79" i="3"/>
  <c r="J79" i="3"/>
  <c r="J6" i="2"/>
  <c r="E17" i="2"/>
  <c r="L31" i="2"/>
  <c r="L6" i="3"/>
  <c r="K79" i="3"/>
  <c r="M6" i="5"/>
  <c r="L6" i="5"/>
  <c r="K6" i="5"/>
  <c r="I51" i="8"/>
  <c r="J119" i="8"/>
  <c r="J122" i="8"/>
  <c r="J125" i="8"/>
  <c r="J128" i="8"/>
  <c r="L143" i="8"/>
  <c r="L146" i="8"/>
  <c r="L149" i="8"/>
  <c r="I161" i="8"/>
  <c r="J162" i="8" s="1"/>
  <c r="J186" i="8"/>
  <c r="J189" i="8"/>
  <c r="J192" i="8"/>
  <c r="J195" i="8"/>
  <c r="L207" i="8"/>
  <c r="L210" i="8"/>
  <c r="L213" i="8"/>
  <c r="L216" i="8"/>
  <c r="J253" i="8"/>
  <c r="J256" i="8"/>
  <c r="J259" i="8"/>
  <c r="L262" i="8"/>
  <c r="L274" i="8"/>
  <c r="L277" i="8"/>
  <c r="L280" i="8"/>
  <c r="L283" i="8"/>
  <c r="J86" i="10"/>
  <c r="J87" i="10"/>
  <c r="G73" i="10"/>
  <c r="J74" i="10"/>
  <c r="J85" i="10"/>
  <c r="J84" i="10"/>
  <c r="J83" i="10"/>
  <c r="J82" i="10"/>
  <c r="J81" i="10"/>
  <c r="J80" i="10"/>
  <c r="J79" i="10"/>
  <c r="J78" i="10"/>
  <c r="J77" i="10"/>
  <c r="J76" i="10"/>
  <c r="J75" i="10"/>
  <c r="V5" i="12"/>
  <c r="U5" i="12"/>
  <c r="S5" i="12"/>
  <c r="T5" i="12"/>
  <c r="P9" i="16"/>
  <c r="P21" i="16"/>
  <c r="Q21" i="17"/>
  <c r="Q9" i="17"/>
  <c r="K6" i="2"/>
  <c r="F17" i="2"/>
  <c r="S6" i="6"/>
  <c r="R6" i="6"/>
  <c r="Q6" i="6"/>
  <c r="J283" i="8"/>
  <c r="J282" i="8"/>
  <c r="J281" i="8"/>
  <c r="J280" i="8"/>
  <c r="J279" i="8"/>
  <c r="J278" i="8"/>
  <c r="J277" i="8"/>
  <c r="J276" i="8"/>
  <c r="J275" i="8"/>
  <c r="J274" i="8"/>
  <c r="J273" i="8"/>
  <c r="J262" i="8"/>
  <c r="J241" i="8"/>
  <c r="J217" i="8"/>
  <c r="J216" i="8"/>
  <c r="J215" i="8"/>
  <c r="J214" i="8"/>
  <c r="J213" i="8"/>
  <c r="J212" i="8"/>
  <c r="J211" i="8"/>
  <c r="J210" i="8"/>
  <c r="J209" i="8"/>
  <c r="J208" i="8"/>
  <c r="J207" i="8"/>
  <c r="J196" i="8"/>
  <c r="J175" i="8"/>
  <c r="J151" i="8"/>
  <c r="J150" i="8"/>
  <c r="J149" i="8"/>
  <c r="J148" i="8"/>
  <c r="J147" i="8"/>
  <c r="J146" i="8"/>
  <c r="J145" i="8"/>
  <c r="J144" i="8"/>
  <c r="J143" i="8"/>
  <c r="J142" i="8"/>
  <c r="J141" i="8"/>
  <c r="J130" i="8"/>
  <c r="J109" i="8"/>
  <c r="G7" i="8"/>
  <c r="I249" i="8"/>
  <c r="J250" i="8" s="1"/>
  <c r="I183" i="8"/>
  <c r="J184" i="8" s="1"/>
  <c r="I117" i="8"/>
  <c r="J118" i="8" s="1"/>
  <c r="J284" i="8"/>
  <c r="J263" i="8"/>
  <c r="J239" i="8"/>
  <c r="J238" i="8"/>
  <c r="J237" i="8"/>
  <c r="J236" i="8"/>
  <c r="J235" i="8"/>
  <c r="J234" i="8"/>
  <c r="J233" i="8"/>
  <c r="J232" i="8"/>
  <c r="J231" i="8"/>
  <c r="J230" i="8"/>
  <c r="J229" i="8"/>
  <c r="J218" i="8"/>
  <c r="J197" i="8"/>
  <c r="J173" i="8"/>
  <c r="J172" i="8"/>
  <c r="J171" i="8"/>
  <c r="J170" i="8"/>
  <c r="J169" i="8"/>
  <c r="J168" i="8"/>
  <c r="J167" i="8"/>
  <c r="J166" i="8"/>
  <c r="J165" i="8"/>
  <c r="J164" i="8"/>
  <c r="J163" i="8"/>
  <c r="J152" i="8"/>
  <c r="J131" i="8"/>
  <c r="J107" i="8"/>
  <c r="J106" i="8"/>
  <c r="J105" i="8"/>
  <c r="J104" i="8"/>
  <c r="J103" i="8"/>
  <c r="J102" i="8"/>
  <c r="J101" i="8"/>
  <c r="J100" i="8"/>
  <c r="J99" i="8"/>
  <c r="J98" i="8"/>
  <c r="J97" i="8"/>
  <c r="I73" i="8"/>
  <c r="I29" i="8"/>
  <c r="J30" i="8" s="1"/>
  <c r="I271" i="8"/>
  <c r="J272" i="8" s="1"/>
  <c r="I205" i="8"/>
  <c r="J206" i="8" s="1"/>
  <c r="I139" i="8"/>
  <c r="J140" i="8" s="1"/>
  <c r="L63" i="8"/>
  <c r="L62" i="8"/>
  <c r="L61" i="8"/>
  <c r="L60" i="8"/>
  <c r="L59" i="8"/>
  <c r="L58" i="8"/>
  <c r="L57" i="8"/>
  <c r="L56" i="8"/>
  <c r="L55" i="8"/>
  <c r="L54" i="8"/>
  <c r="L53" i="8"/>
  <c r="L87" i="8"/>
  <c r="L64" i="8"/>
  <c r="K161" i="8"/>
  <c r="L162" i="8" s="1"/>
  <c r="J174" i="8"/>
  <c r="H17" i="10"/>
  <c r="I51" i="10"/>
  <c r="L52" i="10"/>
  <c r="J109" i="10"/>
  <c r="G95" i="10"/>
  <c r="J96" i="10"/>
  <c r="J107" i="10"/>
  <c r="J106" i="10"/>
  <c r="J105" i="10"/>
  <c r="J104" i="10"/>
  <c r="J103" i="10"/>
  <c r="J102" i="10"/>
  <c r="J101" i="10"/>
  <c r="J100" i="10"/>
  <c r="J99" i="10"/>
  <c r="J98" i="10"/>
  <c r="J97" i="10"/>
  <c r="J108" i="10"/>
  <c r="T21" i="15"/>
  <c r="L6" i="2"/>
  <c r="G17" i="2"/>
  <c r="E18" i="2"/>
  <c r="J58" i="2"/>
  <c r="J6" i="5"/>
  <c r="T6" i="5"/>
  <c r="L284" i="8"/>
  <c r="L263" i="8"/>
  <c r="K249" i="8"/>
  <c r="L250" i="8" s="1"/>
  <c r="L239" i="8"/>
  <c r="L238" i="8"/>
  <c r="L237" i="8"/>
  <c r="L236" i="8"/>
  <c r="L235" i="8"/>
  <c r="L234" i="8"/>
  <c r="L233" i="8"/>
  <c r="L232" i="8"/>
  <c r="L231" i="8"/>
  <c r="L230" i="8"/>
  <c r="L229" i="8"/>
  <c r="L218" i="8"/>
  <c r="L197" i="8"/>
  <c r="K183" i="8"/>
  <c r="L184" i="8" s="1"/>
  <c r="L173" i="8"/>
  <c r="L172" i="8"/>
  <c r="L171" i="8"/>
  <c r="L170" i="8"/>
  <c r="L169" i="8"/>
  <c r="L168" i="8"/>
  <c r="L167" i="8"/>
  <c r="L166" i="8"/>
  <c r="L165" i="8"/>
  <c r="L164" i="8"/>
  <c r="L163" i="8"/>
  <c r="L152" i="8"/>
  <c r="L131" i="8"/>
  <c r="K117" i="8"/>
  <c r="L118" i="8" s="1"/>
  <c r="L107" i="8"/>
  <c r="L106" i="8"/>
  <c r="L105" i="8"/>
  <c r="L104" i="8"/>
  <c r="L103" i="8"/>
  <c r="L102" i="8"/>
  <c r="L101" i="8"/>
  <c r="L100" i="8"/>
  <c r="L99" i="8"/>
  <c r="L98" i="8"/>
  <c r="L97" i="8"/>
  <c r="K73" i="8"/>
  <c r="K29" i="8"/>
  <c r="L30" i="8" s="1"/>
  <c r="L285" i="8"/>
  <c r="K271" i="8"/>
  <c r="L272" i="8" s="1"/>
  <c r="L261" i="8"/>
  <c r="L260" i="8"/>
  <c r="L259" i="8"/>
  <c r="L258" i="8"/>
  <c r="L257" i="8"/>
  <c r="L256" i="8"/>
  <c r="L255" i="8"/>
  <c r="L254" i="8"/>
  <c r="L253" i="8"/>
  <c r="L252" i="8"/>
  <c r="L251" i="8"/>
  <c r="L240" i="8"/>
  <c r="L219" i="8"/>
  <c r="K205" i="8"/>
  <c r="L206" i="8" s="1"/>
  <c r="L195" i="8"/>
  <c r="L194" i="8"/>
  <c r="L193" i="8"/>
  <c r="L192" i="8"/>
  <c r="L191" i="8"/>
  <c r="L190" i="8"/>
  <c r="L189" i="8"/>
  <c r="L188" i="8"/>
  <c r="L187" i="8"/>
  <c r="L186" i="8"/>
  <c r="L185" i="8"/>
  <c r="L174" i="8"/>
  <c r="L153" i="8"/>
  <c r="K139" i="8"/>
  <c r="L140" i="8" s="1"/>
  <c r="L129" i="8"/>
  <c r="L128" i="8"/>
  <c r="L127" i="8"/>
  <c r="L126" i="8"/>
  <c r="L125" i="8"/>
  <c r="L124" i="8"/>
  <c r="L123" i="8"/>
  <c r="L122" i="8"/>
  <c r="L121" i="8"/>
  <c r="L120" i="8"/>
  <c r="L119" i="8"/>
  <c r="L108" i="8"/>
  <c r="J121" i="8"/>
  <c r="J124" i="8"/>
  <c r="J127" i="8"/>
  <c r="L130" i="8"/>
  <c r="L142" i="8"/>
  <c r="L145" i="8"/>
  <c r="L148" i="8"/>
  <c r="L151" i="8"/>
  <c r="J153" i="8"/>
  <c r="J185" i="8"/>
  <c r="J188" i="8"/>
  <c r="J191" i="8"/>
  <c r="J194" i="8"/>
  <c r="L209" i="8"/>
  <c r="L212" i="8"/>
  <c r="L215" i="8"/>
  <c r="I227" i="8"/>
  <c r="J228" i="8" s="1"/>
  <c r="J252" i="8"/>
  <c r="J255" i="8"/>
  <c r="J258" i="8"/>
  <c r="J261" i="8"/>
  <c r="L273" i="8"/>
  <c r="L276" i="8"/>
  <c r="L279" i="8"/>
  <c r="L282" i="8"/>
  <c r="E7" i="10"/>
  <c r="H17" i="2"/>
  <c r="F18" i="2"/>
  <c r="K58" i="2"/>
  <c r="L152" i="3"/>
  <c r="L109" i="8"/>
  <c r="K227" i="8"/>
  <c r="L228" i="8" s="1"/>
  <c r="J240" i="8"/>
  <c r="H20" i="10"/>
  <c r="H21" i="10"/>
  <c r="H19" i="10"/>
  <c r="H16" i="10"/>
  <c r="H13" i="10"/>
  <c r="H10" i="10"/>
  <c r="H18" i="10"/>
  <c r="H15" i="10"/>
  <c r="H12" i="10"/>
  <c r="H9" i="10"/>
  <c r="H11" i="10"/>
  <c r="C146" i="13"/>
  <c r="C118" i="13"/>
  <c r="C90" i="13"/>
  <c r="C62" i="13"/>
  <c r="C34" i="13"/>
  <c r="C20" i="13"/>
  <c r="C160" i="13"/>
  <c r="C132" i="13"/>
  <c r="C104" i="13"/>
  <c r="C76" i="13"/>
  <c r="S21" i="15"/>
  <c r="N8" i="8"/>
  <c r="M51" i="8"/>
  <c r="M95" i="8"/>
  <c r="N96" i="8" s="1"/>
  <c r="M161" i="8"/>
  <c r="N162" i="8" s="1"/>
  <c r="M227" i="8"/>
  <c r="N228" i="8" s="1"/>
  <c r="J8" i="10"/>
  <c r="J42" i="10"/>
  <c r="J43" i="10"/>
  <c r="G29" i="10"/>
  <c r="E54" i="12"/>
  <c r="E56" i="12"/>
  <c r="E53" i="12"/>
  <c r="C65" i="14"/>
  <c r="D147" i="15"/>
  <c r="D63" i="15"/>
  <c r="D21" i="15"/>
  <c r="D161" i="15"/>
  <c r="D77" i="15"/>
  <c r="D91" i="15"/>
  <c r="D105" i="15"/>
  <c r="E21" i="15"/>
  <c r="D133" i="15"/>
  <c r="E147" i="15"/>
  <c r="Q21" i="16"/>
  <c r="Q9" i="16"/>
  <c r="W6" i="5"/>
  <c r="N141" i="8"/>
  <c r="N142" i="8"/>
  <c r="N143" i="8"/>
  <c r="N144" i="8"/>
  <c r="N145" i="8"/>
  <c r="N146" i="8"/>
  <c r="N147" i="8"/>
  <c r="N148" i="8"/>
  <c r="N149" i="8"/>
  <c r="N150" i="8"/>
  <c r="N207" i="8"/>
  <c r="N208" i="8"/>
  <c r="N209" i="8"/>
  <c r="N210" i="8"/>
  <c r="N211" i="8"/>
  <c r="N212" i="8"/>
  <c r="N213" i="8"/>
  <c r="N214" i="8"/>
  <c r="N215" i="8"/>
  <c r="N216" i="8"/>
  <c r="N273" i="8"/>
  <c r="N274" i="8"/>
  <c r="N275" i="8"/>
  <c r="N276" i="8"/>
  <c r="N277" i="8"/>
  <c r="N278" i="8"/>
  <c r="N279" i="8"/>
  <c r="N280" i="8"/>
  <c r="N281" i="8"/>
  <c r="N282" i="8"/>
  <c r="L19" i="10"/>
  <c r="L18" i="10"/>
  <c r="L17" i="10"/>
  <c r="L16" i="10"/>
  <c r="L15" i="10"/>
  <c r="L14" i="10"/>
  <c r="L13" i="10"/>
  <c r="L12" i="10"/>
  <c r="L11" i="10"/>
  <c r="L10" i="10"/>
  <c r="L9" i="10"/>
  <c r="L8" i="10"/>
  <c r="J9" i="10"/>
  <c r="J12" i="10"/>
  <c r="J15" i="10"/>
  <c r="J18" i="10"/>
  <c r="L107" i="10"/>
  <c r="L106" i="10"/>
  <c r="L105" i="10"/>
  <c r="L104" i="10"/>
  <c r="L103" i="10"/>
  <c r="L102" i="10"/>
  <c r="L101" i="10"/>
  <c r="L100" i="10"/>
  <c r="L99" i="10"/>
  <c r="L98" i="10"/>
  <c r="L97" i="10"/>
  <c r="L63" i="10"/>
  <c r="L62" i="10"/>
  <c r="L61" i="10"/>
  <c r="L60" i="10"/>
  <c r="L59" i="10"/>
  <c r="L58" i="10"/>
  <c r="L57" i="10"/>
  <c r="L56" i="10"/>
  <c r="L55" i="10"/>
  <c r="L54" i="10"/>
  <c r="L53" i="10"/>
  <c r="L87" i="10"/>
  <c r="L43" i="10"/>
  <c r="L85" i="10"/>
  <c r="L84" i="10"/>
  <c r="L83" i="10"/>
  <c r="L82" i="10"/>
  <c r="L81" i="10"/>
  <c r="L80" i="10"/>
  <c r="L79" i="10"/>
  <c r="L78" i="10"/>
  <c r="L77" i="10"/>
  <c r="L76" i="10"/>
  <c r="L75" i="10"/>
  <c r="L41" i="10"/>
  <c r="L40" i="10"/>
  <c r="L39" i="10"/>
  <c r="L38" i="10"/>
  <c r="L37" i="10"/>
  <c r="L36" i="10"/>
  <c r="L35" i="10"/>
  <c r="L34" i="10"/>
  <c r="L33" i="10"/>
  <c r="L32" i="10"/>
  <c r="L31" i="10"/>
  <c r="L86" i="10"/>
  <c r="L109" i="10"/>
  <c r="F54" i="12"/>
  <c r="F57" i="12" s="1"/>
  <c r="F160" i="13"/>
  <c r="F132" i="13"/>
  <c r="F104" i="13"/>
  <c r="F76" i="13"/>
  <c r="F48" i="13"/>
  <c r="P20" i="13"/>
  <c r="O20" i="13"/>
  <c r="F34" i="13"/>
  <c r="F62" i="13"/>
  <c r="F90" i="13"/>
  <c r="F118" i="13"/>
  <c r="F146" i="13"/>
  <c r="E161" i="15"/>
  <c r="E77" i="15"/>
  <c r="E91" i="15"/>
  <c r="E105" i="15"/>
  <c r="E119" i="15"/>
  <c r="E35" i="15"/>
  <c r="D119" i="15"/>
  <c r="E133" i="15"/>
  <c r="G107" i="16"/>
  <c r="G161" i="16"/>
  <c r="M139" i="8"/>
  <c r="N140" i="8" s="1"/>
  <c r="M205" i="8"/>
  <c r="N206" i="8" s="1"/>
  <c r="M271" i="8"/>
  <c r="N272" i="8" s="1"/>
  <c r="G160" i="13"/>
  <c r="G132" i="13"/>
  <c r="G104" i="13"/>
  <c r="G76" i="13"/>
  <c r="G48" i="13"/>
  <c r="G146" i="13"/>
  <c r="G118" i="13"/>
  <c r="G90" i="13"/>
  <c r="G62" i="13"/>
  <c r="G34" i="13"/>
  <c r="G20" i="13"/>
  <c r="Q20" i="13"/>
  <c r="C135" i="14"/>
  <c r="C93" i="14"/>
  <c r="C51" i="14"/>
  <c r="C23" i="14"/>
  <c r="C163" i="14"/>
  <c r="C121" i="14"/>
  <c r="C79" i="14"/>
  <c r="C37" i="14"/>
  <c r="T9" i="14"/>
  <c r="C107" i="14"/>
  <c r="D49" i="15"/>
  <c r="E63" i="15"/>
  <c r="G149" i="16"/>
  <c r="G147" i="16"/>
  <c r="G121" i="16"/>
  <c r="G119" i="16"/>
  <c r="G93" i="16"/>
  <c r="G79" i="16"/>
  <c r="G77" i="16"/>
  <c r="G51" i="16"/>
  <c r="G49" i="16"/>
  <c r="G23" i="16"/>
  <c r="G9" i="16"/>
  <c r="G21" i="16"/>
  <c r="G35" i="16"/>
  <c r="G37" i="16"/>
  <c r="G63" i="16"/>
  <c r="G65" i="16"/>
  <c r="G91" i="16"/>
  <c r="S6" i="5"/>
  <c r="M29" i="8"/>
  <c r="N30" i="8" s="1"/>
  <c r="M73" i="8"/>
  <c r="N119" i="8"/>
  <c r="N120" i="8"/>
  <c r="N121" i="8"/>
  <c r="N122" i="8"/>
  <c r="N123" i="8"/>
  <c r="N124" i="8"/>
  <c r="N125" i="8"/>
  <c r="N126" i="8"/>
  <c r="N127" i="8"/>
  <c r="N128" i="8"/>
  <c r="N185" i="8"/>
  <c r="N186" i="8"/>
  <c r="N187" i="8"/>
  <c r="N188" i="8"/>
  <c r="N189" i="8"/>
  <c r="N190" i="8"/>
  <c r="N191" i="8"/>
  <c r="N192" i="8"/>
  <c r="N193" i="8"/>
  <c r="N194" i="8"/>
  <c r="N251" i="8"/>
  <c r="N252" i="8"/>
  <c r="N253" i="8"/>
  <c r="N254" i="8"/>
  <c r="N255" i="8"/>
  <c r="N256" i="8"/>
  <c r="N257" i="8"/>
  <c r="N258" i="8"/>
  <c r="N259" i="8"/>
  <c r="J10" i="10"/>
  <c r="J13" i="10"/>
  <c r="J16" i="10"/>
  <c r="J19" i="10"/>
  <c r="J5" i="12"/>
  <c r="I5" i="12"/>
  <c r="R20" i="13"/>
  <c r="R21" i="15"/>
  <c r="Q21" i="15"/>
  <c r="D35" i="15"/>
  <c r="E49" i="15"/>
  <c r="K7" i="16"/>
  <c r="J7" i="16"/>
  <c r="I7" i="16"/>
  <c r="G105" i="16"/>
  <c r="G135" i="16"/>
  <c r="P21" i="17"/>
  <c r="P9" i="17"/>
  <c r="G148" i="18"/>
  <c r="G118" i="18"/>
  <c r="G64" i="18"/>
  <c r="G132" i="18"/>
  <c r="G78" i="18"/>
  <c r="G146" i="18"/>
  <c r="G92" i="18"/>
  <c r="G62" i="18"/>
  <c r="G160" i="18"/>
  <c r="G106" i="18"/>
  <c r="G76" i="18"/>
  <c r="G48" i="18"/>
  <c r="G8" i="18"/>
  <c r="G120" i="18"/>
  <c r="G90" i="18"/>
  <c r="G22" i="18"/>
  <c r="G50" i="18"/>
  <c r="G36" i="18"/>
  <c r="G20" i="18"/>
  <c r="G134" i="18"/>
  <c r="G104" i="18"/>
  <c r="G34" i="18"/>
  <c r="N52" i="10"/>
  <c r="N96" i="10"/>
  <c r="C54" i="12"/>
  <c r="C57" i="12" s="1"/>
  <c r="G55" i="12"/>
  <c r="U16" i="12"/>
  <c r="U19" i="12"/>
  <c r="U22" i="12"/>
  <c r="U25" i="12"/>
  <c r="U28" i="12"/>
  <c r="U31" i="12"/>
  <c r="U34" i="12"/>
  <c r="U37" i="12"/>
  <c r="U40" i="12"/>
  <c r="U43" i="12"/>
  <c r="U46" i="12"/>
  <c r="U49" i="12"/>
  <c r="U52" i="12"/>
  <c r="U55" i="12"/>
  <c r="D48" i="13"/>
  <c r="D76" i="13"/>
  <c r="D104" i="13"/>
  <c r="D132" i="13"/>
  <c r="D160" i="13"/>
  <c r="P23" i="14"/>
  <c r="L7" i="15"/>
  <c r="G21" i="15"/>
  <c r="F49" i="15"/>
  <c r="G63" i="15"/>
  <c r="C91" i="15"/>
  <c r="F133" i="15"/>
  <c r="G147" i="15"/>
  <c r="C149" i="16"/>
  <c r="C147" i="16"/>
  <c r="C121" i="16"/>
  <c r="C119" i="16"/>
  <c r="C93" i="16"/>
  <c r="C161" i="16"/>
  <c r="C135" i="16"/>
  <c r="C133" i="16"/>
  <c r="C107" i="16"/>
  <c r="C105" i="16"/>
  <c r="E23" i="16"/>
  <c r="E49" i="16"/>
  <c r="E51" i="16"/>
  <c r="E77" i="16"/>
  <c r="E79" i="16"/>
  <c r="D93" i="16"/>
  <c r="D119" i="16"/>
  <c r="D121" i="16"/>
  <c r="D147" i="16"/>
  <c r="D149" i="16"/>
  <c r="R21" i="17"/>
  <c r="R9" i="17"/>
  <c r="F34" i="18"/>
  <c r="F76" i="18"/>
  <c r="M120" i="18"/>
  <c r="Q23" i="14"/>
  <c r="G49" i="15"/>
  <c r="G133" i="15"/>
  <c r="D161" i="16"/>
  <c r="D135" i="16"/>
  <c r="D133" i="16"/>
  <c r="D107" i="16"/>
  <c r="D105" i="16"/>
  <c r="E93" i="16"/>
  <c r="E119" i="16"/>
  <c r="E121" i="16"/>
  <c r="E147" i="16"/>
  <c r="E149" i="16"/>
  <c r="K7" i="17"/>
  <c r="J7" i="17"/>
  <c r="L134" i="18"/>
  <c r="L104" i="18"/>
  <c r="L50" i="18"/>
  <c r="L148" i="18"/>
  <c r="L118" i="18"/>
  <c r="L64" i="18"/>
  <c r="L132" i="18"/>
  <c r="L78" i="18"/>
  <c r="L48" i="18"/>
  <c r="L146" i="18"/>
  <c r="L92" i="18"/>
  <c r="L62" i="18"/>
  <c r="L120" i="18"/>
  <c r="L90" i="18"/>
  <c r="L8" i="18"/>
  <c r="L22" i="18"/>
  <c r="L106" i="18"/>
  <c r="L76" i="18"/>
  <c r="L36" i="18"/>
  <c r="S148" i="18"/>
  <c r="S118" i="18"/>
  <c r="S64" i="18"/>
  <c r="S132" i="18"/>
  <c r="S78" i="18"/>
  <c r="S48" i="18"/>
  <c r="S146" i="18"/>
  <c r="S92" i="18"/>
  <c r="S62" i="18"/>
  <c r="S160" i="18"/>
  <c r="S106" i="18"/>
  <c r="S76" i="18"/>
  <c r="S134" i="18"/>
  <c r="S104" i="18"/>
  <c r="S8" i="18"/>
  <c r="S22" i="18"/>
  <c r="S36" i="18"/>
  <c r="S120" i="18"/>
  <c r="S90" i="18"/>
  <c r="S20" i="18"/>
  <c r="F7" i="19"/>
  <c r="H7" i="19" s="1"/>
  <c r="J7" i="19"/>
  <c r="N37" i="10"/>
  <c r="N38" i="10"/>
  <c r="N39" i="10"/>
  <c r="N40" i="10"/>
  <c r="N75" i="10"/>
  <c r="N78" i="10"/>
  <c r="N79" i="10"/>
  <c r="N80" i="10"/>
  <c r="N81" i="10"/>
  <c r="N82" i="10"/>
  <c r="N83" i="10"/>
  <c r="N84" i="10"/>
  <c r="G53" i="12"/>
  <c r="G57" i="12" s="1"/>
  <c r="C55" i="12"/>
  <c r="G56" i="12"/>
  <c r="U17" i="12"/>
  <c r="U20" i="12"/>
  <c r="U23" i="12"/>
  <c r="U26" i="12"/>
  <c r="U29" i="12"/>
  <c r="U32" i="12"/>
  <c r="U35" i="12"/>
  <c r="U38" i="12"/>
  <c r="U41" i="12"/>
  <c r="U44" i="12"/>
  <c r="U47" i="12"/>
  <c r="U50" i="12"/>
  <c r="U53" i="12"/>
  <c r="U56" i="12"/>
  <c r="W7" i="15"/>
  <c r="G35" i="15"/>
  <c r="F105" i="15"/>
  <c r="G119" i="15"/>
  <c r="C147" i="15"/>
  <c r="E161" i="16"/>
  <c r="E135" i="16"/>
  <c r="E133" i="16"/>
  <c r="E107" i="16"/>
  <c r="E105" i="16"/>
  <c r="D9" i="16"/>
  <c r="S9" i="16"/>
  <c r="D21" i="16"/>
  <c r="S21" i="16"/>
  <c r="D35" i="16"/>
  <c r="D37" i="16"/>
  <c r="D63" i="16"/>
  <c r="D65" i="16"/>
  <c r="D91" i="16"/>
  <c r="C161" i="17"/>
  <c r="C135" i="17"/>
  <c r="C133" i="17"/>
  <c r="C107" i="17"/>
  <c r="C105" i="17"/>
  <c r="C79" i="17"/>
  <c r="C77" i="17"/>
  <c r="C51" i="17"/>
  <c r="C49" i="17"/>
  <c r="C23" i="17"/>
  <c r="C149" i="17"/>
  <c r="C147" i="17"/>
  <c r="C121" i="17"/>
  <c r="C119" i="17"/>
  <c r="C93" i="17"/>
  <c r="C91" i="17"/>
  <c r="C65" i="17"/>
  <c r="C63" i="17"/>
  <c r="C37" i="17"/>
  <c r="C35" i="17"/>
  <c r="C21" i="17"/>
  <c r="C9" i="17"/>
  <c r="M148" i="18"/>
  <c r="M118" i="18"/>
  <c r="M64" i="18"/>
  <c r="M132" i="18"/>
  <c r="M78" i="18"/>
  <c r="M146" i="18"/>
  <c r="M92" i="18"/>
  <c r="M62" i="18"/>
  <c r="M160" i="18"/>
  <c r="M106" i="18"/>
  <c r="M76" i="18"/>
  <c r="M50" i="18"/>
  <c r="M8" i="18"/>
  <c r="M48" i="18"/>
  <c r="M22" i="18"/>
  <c r="M134" i="18"/>
  <c r="M104" i="18"/>
  <c r="M36" i="18"/>
  <c r="M20" i="18"/>
  <c r="L34" i="18"/>
  <c r="L160" i="18"/>
  <c r="D20" i="13"/>
  <c r="S20" i="13"/>
  <c r="D34" i="13"/>
  <c r="D62" i="13"/>
  <c r="D90" i="13"/>
  <c r="D118" i="13"/>
  <c r="D146" i="13"/>
  <c r="I7" i="15"/>
  <c r="C49" i="15"/>
  <c r="F91" i="15"/>
  <c r="G105" i="15"/>
  <c r="C133" i="15"/>
  <c r="F161" i="16"/>
  <c r="F135" i="16"/>
  <c r="F133" i="16"/>
  <c r="F107" i="16"/>
  <c r="F105" i="16"/>
  <c r="F149" i="16"/>
  <c r="F147" i="16"/>
  <c r="F121" i="16"/>
  <c r="F119" i="16"/>
  <c r="F93" i="16"/>
  <c r="U7" i="16"/>
  <c r="E9" i="16"/>
  <c r="E21" i="16"/>
  <c r="E35" i="16"/>
  <c r="E37" i="16"/>
  <c r="E63" i="16"/>
  <c r="E65" i="16"/>
  <c r="E91" i="16"/>
  <c r="F134" i="18"/>
  <c r="F104" i="18"/>
  <c r="F50" i="18"/>
  <c r="F148" i="18"/>
  <c r="F118" i="18"/>
  <c r="F64" i="18"/>
  <c r="F132" i="18"/>
  <c r="F78" i="18"/>
  <c r="F48" i="18"/>
  <c r="F146" i="18"/>
  <c r="F92" i="18"/>
  <c r="F62" i="18"/>
  <c r="F160" i="18"/>
  <c r="F8" i="18"/>
  <c r="F120" i="18"/>
  <c r="F90" i="18"/>
  <c r="F22" i="18"/>
  <c r="F36" i="18"/>
  <c r="F20" i="18"/>
  <c r="M34" i="18"/>
  <c r="S50" i="18"/>
  <c r="F23" i="17"/>
  <c r="F49" i="17"/>
  <c r="F51" i="17"/>
  <c r="F77" i="17"/>
  <c r="F79" i="17"/>
  <c r="F105" i="17"/>
  <c r="F107" i="17"/>
  <c r="F133" i="17"/>
  <c r="F135" i="17"/>
  <c r="F161" i="17"/>
  <c r="N132" i="18"/>
  <c r="N78" i="18"/>
  <c r="N48" i="18"/>
  <c r="N146" i="18"/>
  <c r="N92" i="18"/>
  <c r="N62" i="18"/>
  <c r="N160" i="18"/>
  <c r="N106" i="18"/>
  <c r="N76" i="18"/>
  <c r="N120" i="18"/>
  <c r="N90" i="18"/>
  <c r="T132" i="18"/>
  <c r="T78" i="18"/>
  <c r="T48" i="18"/>
  <c r="T146" i="18"/>
  <c r="T92" i="18"/>
  <c r="T62" i="18"/>
  <c r="T160" i="18"/>
  <c r="T106" i="18"/>
  <c r="T76" i="18"/>
  <c r="T120" i="18"/>
  <c r="T90" i="18"/>
  <c r="D8" i="18"/>
  <c r="V8" i="18"/>
  <c r="E22" i="18"/>
  <c r="K22" i="18"/>
  <c r="N34" i="18"/>
  <c r="T34" i="18"/>
  <c r="C48" i="18"/>
  <c r="U48" i="18"/>
  <c r="T50" i="18"/>
  <c r="E62" i="18"/>
  <c r="E92" i="18"/>
  <c r="O118" i="18"/>
  <c r="D132" i="18"/>
  <c r="V132" i="18"/>
  <c r="K146" i="18"/>
  <c r="N37" i="19"/>
  <c r="N133" i="19"/>
  <c r="D9" i="17"/>
  <c r="S9" i="17"/>
  <c r="D21" i="17"/>
  <c r="S21" i="17"/>
  <c r="G23" i="17"/>
  <c r="D35" i="17"/>
  <c r="D37" i="17"/>
  <c r="G49" i="17"/>
  <c r="G51" i="17"/>
  <c r="D63" i="17"/>
  <c r="D65" i="17"/>
  <c r="G77" i="17"/>
  <c r="G79" i="17"/>
  <c r="D91" i="17"/>
  <c r="D93" i="17"/>
  <c r="G105" i="17"/>
  <c r="G107" i="17"/>
  <c r="D119" i="17"/>
  <c r="D121" i="17"/>
  <c r="G133" i="17"/>
  <c r="G135" i="17"/>
  <c r="D147" i="17"/>
  <c r="D149" i="17"/>
  <c r="G161" i="17"/>
  <c r="C146" i="18"/>
  <c r="C92" i="18"/>
  <c r="C62" i="18"/>
  <c r="C160" i="18"/>
  <c r="C106" i="18"/>
  <c r="C76" i="18"/>
  <c r="C120" i="18"/>
  <c r="C90" i="18"/>
  <c r="C134" i="18"/>
  <c r="C104" i="18"/>
  <c r="C50" i="18"/>
  <c r="I6" i="18"/>
  <c r="O146" i="18"/>
  <c r="O92" i="18"/>
  <c r="O62" i="18"/>
  <c r="O160" i="18"/>
  <c r="O106" i="18"/>
  <c r="O76" i="18"/>
  <c r="O120" i="18"/>
  <c r="O90" i="18"/>
  <c r="O134" i="18"/>
  <c r="O104" i="18"/>
  <c r="O50" i="18"/>
  <c r="U146" i="18"/>
  <c r="U92" i="18"/>
  <c r="U62" i="18"/>
  <c r="U160" i="18"/>
  <c r="U106" i="18"/>
  <c r="U76" i="18"/>
  <c r="U120" i="18"/>
  <c r="U90" i="18"/>
  <c r="U134" i="18"/>
  <c r="U104" i="18"/>
  <c r="U50" i="18"/>
  <c r="E8" i="18"/>
  <c r="K8" i="18"/>
  <c r="N20" i="18"/>
  <c r="T20" i="18"/>
  <c r="C34" i="18"/>
  <c r="O34" i="18"/>
  <c r="U34" i="18"/>
  <c r="D48" i="18"/>
  <c r="K48" i="18"/>
  <c r="V48" i="18"/>
  <c r="N64" i="18"/>
  <c r="C78" i="18"/>
  <c r="U78" i="18"/>
  <c r="T118" i="18"/>
  <c r="T148" i="18"/>
  <c r="E160" i="18"/>
  <c r="M7" i="19"/>
  <c r="V161" i="19"/>
  <c r="V149" i="19"/>
  <c r="V147" i="19"/>
  <c r="V135" i="19"/>
  <c r="V133" i="19"/>
  <c r="V121" i="19"/>
  <c r="V119" i="19"/>
  <c r="V107" i="19"/>
  <c r="V105" i="19"/>
  <c r="V93" i="19"/>
  <c r="V91" i="19"/>
  <c r="V79" i="19"/>
  <c r="V77" i="19"/>
  <c r="V65" i="19"/>
  <c r="V63" i="19"/>
  <c r="V51" i="19"/>
  <c r="V49" i="19"/>
  <c r="V37" i="19"/>
  <c r="V35" i="19"/>
  <c r="V23" i="19"/>
  <c r="X7" i="19"/>
  <c r="V21" i="19"/>
  <c r="V9" i="19"/>
  <c r="U7" i="19"/>
  <c r="U7" i="17"/>
  <c r="E9" i="17"/>
  <c r="E21" i="17"/>
  <c r="E35" i="17"/>
  <c r="E37" i="17"/>
  <c r="E63" i="17"/>
  <c r="E65" i="17"/>
  <c r="E91" i="17"/>
  <c r="E93" i="17"/>
  <c r="E119" i="17"/>
  <c r="E121" i="17"/>
  <c r="E147" i="17"/>
  <c r="E149" i="17"/>
  <c r="D160" i="18"/>
  <c r="D106" i="18"/>
  <c r="D76" i="18"/>
  <c r="D120" i="18"/>
  <c r="D90" i="18"/>
  <c r="D134" i="18"/>
  <c r="D104" i="18"/>
  <c r="D50" i="18"/>
  <c r="D148" i="18"/>
  <c r="D118" i="18"/>
  <c r="D64" i="18"/>
  <c r="J6" i="18"/>
  <c r="V160" i="18"/>
  <c r="V106" i="18"/>
  <c r="V76" i="18"/>
  <c r="V120" i="18"/>
  <c r="V90" i="18"/>
  <c r="V134" i="18"/>
  <c r="V104" i="18"/>
  <c r="V50" i="18"/>
  <c r="V148" i="18"/>
  <c r="V118" i="18"/>
  <c r="V64" i="18"/>
  <c r="C20" i="18"/>
  <c r="O20" i="18"/>
  <c r="U20" i="18"/>
  <c r="D34" i="18"/>
  <c r="V34" i="18"/>
  <c r="N36" i="18"/>
  <c r="T36" i="18"/>
  <c r="E48" i="18"/>
  <c r="K62" i="18"/>
  <c r="O64" i="18"/>
  <c r="D78" i="18"/>
  <c r="V78" i="18"/>
  <c r="K92" i="18"/>
  <c r="N104" i="18"/>
  <c r="C118" i="18"/>
  <c r="U118" i="18"/>
  <c r="N134" i="18"/>
  <c r="C148" i="18"/>
  <c r="U148" i="18"/>
  <c r="N161" i="19"/>
  <c r="N149" i="19"/>
  <c r="N147" i="19"/>
  <c r="N135" i="19"/>
  <c r="N119" i="19"/>
  <c r="N107" i="19"/>
  <c r="N77" i="19"/>
  <c r="N65" i="19"/>
  <c r="N35" i="19"/>
  <c r="N23" i="19"/>
  <c r="N105" i="19"/>
  <c r="N93" i="19"/>
  <c r="N63" i="19"/>
  <c r="N51" i="19"/>
  <c r="N49" i="19"/>
  <c r="N79" i="19"/>
  <c r="F9" i="17"/>
  <c r="O9" i="17"/>
  <c r="F21" i="17"/>
  <c r="O21" i="17"/>
  <c r="F35" i="17"/>
  <c r="F37" i="17"/>
  <c r="F63" i="17"/>
  <c r="F65" i="17"/>
  <c r="F91" i="17"/>
  <c r="F93" i="17"/>
  <c r="F119" i="17"/>
  <c r="F121" i="17"/>
  <c r="F147" i="17"/>
  <c r="F149" i="17"/>
  <c r="E120" i="18"/>
  <c r="E90" i="18"/>
  <c r="E134" i="18"/>
  <c r="E104" i="18"/>
  <c r="E50" i="18"/>
  <c r="E148" i="18"/>
  <c r="E118" i="18"/>
  <c r="E64" i="18"/>
  <c r="E132" i="18"/>
  <c r="E78" i="18"/>
  <c r="K120" i="18"/>
  <c r="K90" i="18"/>
  <c r="K134" i="18"/>
  <c r="K104" i="18"/>
  <c r="K50" i="18"/>
  <c r="K148" i="18"/>
  <c r="K118" i="18"/>
  <c r="K64" i="18"/>
  <c r="K132" i="18"/>
  <c r="K78" i="18"/>
  <c r="Q6" i="18"/>
  <c r="D20" i="18"/>
  <c r="V20" i="18"/>
  <c r="N22" i="18"/>
  <c r="T22" i="18"/>
  <c r="E34" i="18"/>
  <c r="K34" i="18"/>
  <c r="C36" i="18"/>
  <c r="O36" i="18"/>
  <c r="U36" i="18"/>
  <c r="O48" i="18"/>
  <c r="T64" i="18"/>
  <c r="E76" i="18"/>
  <c r="E106" i="18"/>
  <c r="O132" i="18"/>
  <c r="D146" i="18"/>
  <c r="V146" i="18"/>
  <c r="K160" i="18"/>
  <c r="N9" i="19"/>
  <c r="N21" i="19"/>
  <c r="P7" i="19"/>
  <c r="C162" i="21"/>
  <c r="C148" i="21"/>
  <c r="C64" i="21"/>
  <c r="C22" i="21"/>
  <c r="C134" i="21"/>
  <c r="C50" i="21"/>
  <c r="C120" i="21"/>
  <c r="C36" i="21"/>
  <c r="C106" i="21"/>
  <c r="C78" i="21"/>
  <c r="L22" i="21"/>
  <c r="C92" i="21"/>
  <c r="D148" i="21"/>
  <c r="D134" i="21"/>
  <c r="D50" i="21"/>
  <c r="D120" i="21"/>
  <c r="D36" i="21"/>
  <c r="D106" i="21"/>
  <c r="D64" i="21"/>
  <c r="D22" i="21"/>
  <c r="D78" i="21"/>
  <c r="D162" i="21"/>
  <c r="M22" i="21"/>
  <c r="N22" i="21"/>
  <c r="D92" i="21"/>
  <c r="L87" i="24"/>
  <c r="L63" i="24"/>
  <c r="L62" i="24"/>
  <c r="L61" i="24"/>
  <c r="L60" i="24"/>
  <c r="L59" i="24"/>
  <c r="L58" i="24"/>
  <c r="L57" i="24"/>
  <c r="L56" i="24"/>
  <c r="L55" i="24"/>
  <c r="L54" i="24"/>
  <c r="L53" i="24"/>
  <c r="L64" i="24"/>
  <c r="L65" i="24"/>
  <c r="E120" i="21"/>
  <c r="E36" i="21"/>
  <c r="E106" i="21"/>
  <c r="E92" i="21"/>
  <c r="E50" i="21"/>
  <c r="E148" i="21"/>
  <c r="E35" i="22"/>
  <c r="E161" i="22"/>
  <c r="E162" i="21"/>
  <c r="F49" i="22"/>
  <c r="G160" i="26"/>
  <c r="G132" i="26"/>
  <c r="G104" i="26"/>
  <c r="G146" i="26"/>
  <c r="G118" i="26"/>
  <c r="G76" i="26"/>
  <c r="G48" i="26"/>
  <c r="G20" i="26"/>
  <c r="G62" i="26"/>
  <c r="G90" i="26"/>
  <c r="G34" i="26"/>
  <c r="E78" i="21"/>
  <c r="E133" i="22"/>
  <c r="E91" i="22"/>
  <c r="E49" i="22"/>
  <c r="E147" i="22"/>
  <c r="E105" i="22"/>
  <c r="E63" i="22"/>
  <c r="E119" i="22"/>
  <c r="E134" i="21"/>
  <c r="F147" i="22"/>
  <c r="F105" i="22"/>
  <c r="F63" i="22"/>
  <c r="F161" i="22"/>
  <c r="F119" i="22"/>
  <c r="F77" i="22"/>
  <c r="F35" i="22"/>
  <c r="X7" i="22"/>
  <c r="W7" i="22"/>
  <c r="V7" i="22"/>
  <c r="F133" i="22"/>
  <c r="O22" i="21"/>
  <c r="F78" i="21"/>
  <c r="F162" i="21"/>
  <c r="G21" i="22"/>
  <c r="P21" i="22"/>
  <c r="H49" i="22"/>
  <c r="D63" i="22"/>
  <c r="H91" i="22"/>
  <c r="D105" i="22"/>
  <c r="H133" i="22"/>
  <c r="D147" i="22"/>
  <c r="N84" i="24"/>
  <c r="N83" i="24"/>
  <c r="N82" i="24"/>
  <c r="N81" i="24"/>
  <c r="N80" i="24"/>
  <c r="N79" i="24"/>
  <c r="N78" i="24"/>
  <c r="N77" i="24"/>
  <c r="N76" i="24"/>
  <c r="N75" i="24"/>
  <c r="F92" i="21"/>
  <c r="H21" i="22"/>
  <c r="Q21" i="22"/>
  <c r="G35" i="22"/>
  <c r="C49" i="22"/>
  <c r="G77" i="22"/>
  <c r="C91" i="22"/>
  <c r="G119" i="22"/>
  <c r="C133" i="22"/>
  <c r="G161" i="22"/>
  <c r="K95" i="24"/>
  <c r="H8" i="21"/>
  <c r="F106" i="21"/>
  <c r="C21" i="22"/>
  <c r="R21" i="22"/>
  <c r="H35" i="22"/>
  <c r="D49" i="22"/>
  <c r="H77" i="22"/>
  <c r="D91" i="22"/>
  <c r="H119" i="22"/>
  <c r="D133" i="22"/>
  <c r="H161" i="22"/>
  <c r="K227" i="24"/>
  <c r="K205" i="24"/>
  <c r="I7" i="24"/>
  <c r="L8" i="24" s="1"/>
  <c r="K183" i="24"/>
  <c r="K253" i="24"/>
  <c r="K73" i="24"/>
  <c r="K161" i="24"/>
  <c r="D21" i="22"/>
  <c r="S21" i="22"/>
  <c r="G105" i="22"/>
  <c r="C119" i="22"/>
  <c r="G147" i="22"/>
  <c r="C161" i="22"/>
  <c r="M139" i="24"/>
  <c r="E160" i="26"/>
  <c r="E132" i="26"/>
  <c r="E104" i="26"/>
  <c r="E90" i="26"/>
  <c r="E62" i="26"/>
  <c r="E34" i="26"/>
  <c r="E146" i="26"/>
  <c r="E118" i="26"/>
  <c r="E76" i="26"/>
  <c r="E48" i="26"/>
  <c r="E20" i="26"/>
  <c r="M117" i="24"/>
  <c r="D160" i="27"/>
  <c r="D132" i="27"/>
  <c r="D104" i="27"/>
  <c r="D76" i="27"/>
  <c r="D48" i="27"/>
  <c r="D20" i="27"/>
  <c r="D118" i="27"/>
  <c r="D62" i="27"/>
  <c r="D146" i="27"/>
  <c r="D90" i="27"/>
  <c r="D34" i="27"/>
  <c r="M205" i="24"/>
  <c r="M227" i="24"/>
  <c r="M253" i="24"/>
  <c r="N8" i="24"/>
  <c r="M51" i="24"/>
  <c r="M95" i="24"/>
  <c r="M161" i="24"/>
  <c r="J196" i="24"/>
  <c r="H197" i="24"/>
  <c r="K7" i="25"/>
  <c r="M73" i="25"/>
  <c r="M29" i="25"/>
  <c r="M95" i="25"/>
  <c r="L214" i="24"/>
  <c r="L215" i="24"/>
  <c r="L216" i="24"/>
  <c r="L217" i="24"/>
  <c r="H218" i="24"/>
  <c r="H229" i="24"/>
  <c r="N229" i="24"/>
  <c r="H230" i="24"/>
  <c r="N230" i="24"/>
  <c r="H231" i="24"/>
  <c r="N231" i="24"/>
  <c r="H232" i="24"/>
  <c r="N232" i="24"/>
  <c r="H233" i="24"/>
  <c r="N233" i="24"/>
  <c r="H234" i="24"/>
  <c r="N234" i="24"/>
  <c r="H235" i="24"/>
  <c r="N235" i="24"/>
  <c r="H236" i="24"/>
  <c r="N236" i="24"/>
  <c r="H237" i="24"/>
  <c r="N237" i="24"/>
  <c r="H238" i="24"/>
  <c r="N238" i="24"/>
  <c r="H239" i="24"/>
  <c r="J240" i="24"/>
  <c r="L241" i="24"/>
  <c r="J255" i="24"/>
  <c r="J256" i="24"/>
  <c r="J257" i="24"/>
  <c r="J258" i="24"/>
  <c r="J259" i="24"/>
  <c r="J260" i="24"/>
  <c r="J261" i="24"/>
  <c r="J262" i="24"/>
  <c r="J263" i="24"/>
  <c r="J264" i="24"/>
  <c r="J265" i="24"/>
  <c r="L266" i="24"/>
  <c r="H267" i="24"/>
  <c r="C160" i="26"/>
  <c r="C132" i="26"/>
  <c r="I6" i="26"/>
  <c r="F20" i="26"/>
  <c r="C34" i="26"/>
  <c r="F48" i="26"/>
  <c r="C62" i="26"/>
  <c r="F76" i="26"/>
  <c r="C90" i="26"/>
  <c r="D146" i="26"/>
  <c r="D118" i="26"/>
  <c r="D160" i="26"/>
  <c r="D132" i="26"/>
  <c r="D104" i="26"/>
  <c r="J6" i="26"/>
  <c r="D34" i="26"/>
  <c r="D62" i="26"/>
  <c r="D90" i="26"/>
  <c r="F160" i="26"/>
  <c r="F146" i="26"/>
  <c r="F118" i="26"/>
  <c r="C20" i="26"/>
  <c r="F34" i="26"/>
  <c r="C48" i="26"/>
  <c r="F62" i="26"/>
  <c r="C76" i="26"/>
  <c r="F90" i="26"/>
  <c r="F104" i="26"/>
  <c r="E90" i="28"/>
  <c r="E104" i="28"/>
  <c r="E146" i="28"/>
  <c r="E132" i="28"/>
  <c r="E118" i="28"/>
  <c r="E160" i="28"/>
  <c r="E48" i="28"/>
  <c r="E76" i="28"/>
  <c r="E62" i="28"/>
  <c r="E20" i="28"/>
  <c r="E34" i="28"/>
  <c r="E34" i="27"/>
  <c r="E62" i="27"/>
  <c r="E90" i="27"/>
  <c r="E118" i="27"/>
  <c r="E146" i="27"/>
  <c r="F160" i="27"/>
  <c r="N61" i="30"/>
  <c r="N58" i="30"/>
  <c r="N55" i="30"/>
  <c r="N84" i="30"/>
  <c r="N81" i="30"/>
  <c r="N78" i="30"/>
  <c r="N75" i="30"/>
  <c r="N62" i="30"/>
  <c r="N59" i="30"/>
  <c r="N56" i="30"/>
  <c r="N53" i="30"/>
  <c r="N82" i="30"/>
  <c r="N79" i="30"/>
  <c r="N76" i="30"/>
  <c r="N83" i="30"/>
  <c r="N60" i="30"/>
  <c r="N77" i="30"/>
  <c r="N54" i="30"/>
  <c r="N80" i="30"/>
  <c r="N52" i="30"/>
  <c r="N57" i="30"/>
  <c r="C20" i="27"/>
  <c r="F34" i="27"/>
  <c r="C48" i="27"/>
  <c r="F62" i="27"/>
  <c r="C76" i="27"/>
  <c r="F90" i="27"/>
  <c r="C104" i="27"/>
  <c r="F118" i="27"/>
  <c r="C132" i="27"/>
  <c r="F146" i="27"/>
  <c r="G160" i="28"/>
  <c r="G118" i="28"/>
  <c r="G132" i="28"/>
  <c r="G48" i="28"/>
  <c r="G76" i="28"/>
  <c r="G146" i="28"/>
  <c r="G90" i="28"/>
  <c r="G104" i="28"/>
  <c r="G62" i="28"/>
  <c r="G160" i="27"/>
  <c r="G34" i="27"/>
  <c r="G62" i="27"/>
  <c r="G90" i="27"/>
  <c r="G118" i="27"/>
  <c r="G146" i="27"/>
  <c r="J6" i="28"/>
  <c r="I6" i="28"/>
  <c r="L6" i="28"/>
  <c r="E20" i="27"/>
  <c r="E48" i="27"/>
  <c r="E76" i="27"/>
  <c r="E104" i="27"/>
  <c r="E132" i="27"/>
  <c r="K6" i="28"/>
  <c r="I6" i="27"/>
  <c r="F20" i="27"/>
  <c r="C34" i="27"/>
  <c r="F48" i="27"/>
  <c r="C62" i="27"/>
  <c r="F76" i="27"/>
  <c r="C90" i="27"/>
  <c r="F104" i="27"/>
  <c r="C118" i="27"/>
  <c r="F132" i="27"/>
  <c r="C146" i="27"/>
  <c r="C160" i="27"/>
  <c r="M6" i="28"/>
  <c r="F146" i="28"/>
  <c r="F104" i="28"/>
  <c r="F118" i="28"/>
  <c r="F160" i="28"/>
  <c r="F132" i="28"/>
  <c r="F34" i="28"/>
  <c r="D62" i="28"/>
  <c r="C132" i="28"/>
  <c r="F62" i="28"/>
  <c r="D76" i="28"/>
  <c r="C118" i="28"/>
  <c r="D132" i="28"/>
  <c r="H272" i="30"/>
  <c r="J272" i="30"/>
  <c r="H43" i="33"/>
  <c r="H30" i="33"/>
  <c r="C160" i="28"/>
  <c r="C76" i="28"/>
  <c r="C104" i="28"/>
  <c r="C90" i="28"/>
  <c r="C62" i="28"/>
  <c r="C34" i="28"/>
  <c r="D48" i="28"/>
  <c r="F90" i="28"/>
  <c r="N30" i="30"/>
  <c r="D90" i="28"/>
  <c r="D118" i="28"/>
  <c r="D104" i="28"/>
  <c r="D146" i="28"/>
  <c r="D34" i="28"/>
  <c r="F76" i="28"/>
  <c r="C146" i="28"/>
  <c r="D160" i="28"/>
  <c r="N96" i="30"/>
  <c r="L96" i="30"/>
  <c r="F140" i="30"/>
  <c r="H74" i="31"/>
  <c r="J74" i="31"/>
  <c r="L86" i="30"/>
  <c r="L87" i="30"/>
  <c r="L52" i="30"/>
  <c r="L83" i="30"/>
  <c r="L80" i="30"/>
  <c r="L77" i="30"/>
  <c r="L65" i="30"/>
  <c r="L61" i="30"/>
  <c r="L58" i="30"/>
  <c r="L55" i="30"/>
  <c r="L84" i="30"/>
  <c r="L81" i="30"/>
  <c r="L78" i="30"/>
  <c r="L75" i="30"/>
  <c r="L64" i="30"/>
  <c r="L62" i="30"/>
  <c r="L59" i="30"/>
  <c r="L56" i="30"/>
  <c r="L53" i="30"/>
  <c r="L57" i="30"/>
  <c r="L76" i="30"/>
  <c r="L85" i="30"/>
  <c r="L184" i="30"/>
  <c r="F30" i="30"/>
  <c r="D52" i="30"/>
  <c r="H60" i="30"/>
  <c r="F118" i="30"/>
  <c r="H118" i="30"/>
  <c r="J141" i="30"/>
  <c r="H142" i="30"/>
  <c r="N143" i="30"/>
  <c r="J144" i="30"/>
  <c r="H145" i="30"/>
  <c r="N146" i="30"/>
  <c r="J147" i="30"/>
  <c r="H148" i="30"/>
  <c r="N149" i="30"/>
  <c r="J150" i="30"/>
  <c r="H151" i="30"/>
  <c r="F152" i="30"/>
  <c r="F153" i="30"/>
  <c r="J162" i="30"/>
  <c r="N184" i="30"/>
  <c r="L219" i="30"/>
  <c r="F219" i="30"/>
  <c r="J218" i="30"/>
  <c r="H217" i="30"/>
  <c r="N216" i="30"/>
  <c r="H216" i="30"/>
  <c r="N215" i="30"/>
  <c r="H215" i="30"/>
  <c r="N214" i="30"/>
  <c r="H214" i="30"/>
  <c r="N213" i="30"/>
  <c r="H213" i="30"/>
  <c r="N212" i="30"/>
  <c r="H212" i="30"/>
  <c r="N211" i="30"/>
  <c r="H211" i="30"/>
  <c r="N210" i="30"/>
  <c r="H210" i="30"/>
  <c r="N209" i="30"/>
  <c r="H209" i="30"/>
  <c r="N208" i="30"/>
  <c r="H208" i="30"/>
  <c r="N207" i="30"/>
  <c r="H207" i="30"/>
  <c r="J219" i="30"/>
  <c r="H218" i="30"/>
  <c r="L217" i="30"/>
  <c r="F217" i="30"/>
  <c r="L216" i="30"/>
  <c r="F216" i="30"/>
  <c r="L215" i="30"/>
  <c r="F215" i="30"/>
  <c r="L214" i="30"/>
  <c r="F214" i="30"/>
  <c r="L213" i="30"/>
  <c r="F213" i="30"/>
  <c r="L212" i="30"/>
  <c r="F212" i="30"/>
  <c r="L211" i="30"/>
  <c r="F211" i="30"/>
  <c r="L210" i="30"/>
  <c r="F210" i="30"/>
  <c r="L209" i="30"/>
  <c r="F209" i="30"/>
  <c r="L208" i="30"/>
  <c r="F208" i="30"/>
  <c r="L207" i="30"/>
  <c r="F207" i="30"/>
  <c r="J108" i="31"/>
  <c r="J64" i="31"/>
  <c r="J109" i="31"/>
  <c r="J65" i="31"/>
  <c r="J106" i="31"/>
  <c r="J103" i="31"/>
  <c r="J100" i="31"/>
  <c r="J97" i="31"/>
  <c r="J83" i="31"/>
  <c r="J80" i="31"/>
  <c r="J77" i="31"/>
  <c r="J63" i="31"/>
  <c r="J60" i="31"/>
  <c r="J57" i="31"/>
  <c r="J54" i="31"/>
  <c r="J40" i="31"/>
  <c r="J37" i="31"/>
  <c r="J34" i="31"/>
  <c r="J31" i="31"/>
  <c r="J30" i="31"/>
  <c r="J87" i="31"/>
  <c r="J86" i="31"/>
  <c r="J107" i="31"/>
  <c r="J105" i="31"/>
  <c r="J102" i="31"/>
  <c r="J99" i="31"/>
  <c r="J85" i="31"/>
  <c r="J82" i="31"/>
  <c r="J79" i="31"/>
  <c r="J76" i="31"/>
  <c r="J62" i="31"/>
  <c r="J59" i="31"/>
  <c r="J56" i="31"/>
  <c r="J53" i="31"/>
  <c r="J39" i="31"/>
  <c r="J36" i="31"/>
  <c r="J33" i="31"/>
  <c r="J43" i="31"/>
  <c r="J78" i="31"/>
  <c r="F52" i="30"/>
  <c r="F53" i="30"/>
  <c r="F56" i="30"/>
  <c r="F59" i="30"/>
  <c r="F62" i="30"/>
  <c r="F64" i="30"/>
  <c r="F75" i="30"/>
  <c r="F78" i="30"/>
  <c r="F81" i="30"/>
  <c r="F84" i="30"/>
  <c r="L109" i="31"/>
  <c r="L65" i="31"/>
  <c r="L107" i="31"/>
  <c r="L106" i="31"/>
  <c r="L105" i="31"/>
  <c r="L104" i="31"/>
  <c r="L103" i="31"/>
  <c r="L102" i="31"/>
  <c r="L101" i="31"/>
  <c r="L100" i="31"/>
  <c r="L99" i="31"/>
  <c r="L98" i="31"/>
  <c r="L97" i="31"/>
  <c r="L63" i="31"/>
  <c r="L62" i="31"/>
  <c r="L61" i="31"/>
  <c r="L60" i="31"/>
  <c r="L59" i="31"/>
  <c r="L58" i="31"/>
  <c r="L57" i="31"/>
  <c r="L56" i="31"/>
  <c r="L55" i="31"/>
  <c r="L54" i="31"/>
  <c r="L53" i="31"/>
  <c r="L87" i="31"/>
  <c r="L83" i="31"/>
  <c r="L80" i="31"/>
  <c r="L77" i="31"/>
  <c r="L40" i="31"/>
  <c r="L37" i="31"/>
  <c r="L34" i="31"/>
  <c r="L31" i="31"/>
  <c r="L30" i="31"/>
  <c r="L86" i="31"/>
  <c r="L85" i="31"/>
  <c r="L82" i="31"/>
  <c r="L79" i="31"/>
  <c r="L76" i="31"/>
  <c r="L43" i="31"/>
  <c r="L39" i="31"/>
  <c r="L36" i="31"/>
  <c r="L33" i="31"/>
  <c r="L42" i="31"/>
  <c r="L78" i="31"/>
  <c r="L108" i="31"/>
  <c r="J8" i="30"/>
  <c r="H52" i="30"/>
  <c r="H53" i="30"/>
  <c r="H56" i="30"/>
  <c r="H59" i="30"/>
  <c r="H62" i="30"/>
  <c r="N141" i="30"/>
  <c r="J142" i="30"/>
  <c r="H143" i="30"/>
  <c r="N144" i="30"/>
  <c r="J145" i="30"/>
  <c r="H146" i="30"/>
  <c r="N147" i="30"/>
  <c r="J148" i="30"/>
  <c r="H149" i="30"/>
  <c r="N150" i="30"/>
  <c r="J151" i="30"/>
  <c r="J152" i="30"/>
  <c r="N162" i="30"/>
  <c r="F206" i="30"/>
  <c r="N250" i="30"/>
  <c r="H8" i="31"/>
  <c r="L32" i="31"/>
  <c r="L41" i="31"/>
  <c r="F55" i="30"/>
  <c r="F58" i="30"/>
  <c r="F61" i="30"/>
  <c r="H64" i="30"/>
  <c r="F65" i="30"/>
  <c r="H75" i="30"/>
  <c r="F77" i="30"/>
  <c r="H78" i="30"/>
  <c r="F80" i="30"/>
  <c r="H81" i="30"/>
  <c r="F83" i="30"/>
  <c r="H84" i="30"/>
  <c r="H86" i="30"/>
  <c r="F141" i="30"/>
  <c r="L142" i="30"/>
  <c r="F144" i="30"/>
  <c r="L145" i="30"/>
  <c r="F147" i="30"/>
  <c r="L148" i="30"/>
  <c r="F150" i="30"/>
  <c r="L151" i="30"/>
  <c r="J153" i="30"/>
  <c r="L64" i="31"/>
  <c r="L81" i="31"/>
  <c r="J101" i="31"/>
  <c r="J52" i="30"/>
  <c r="J75" i="30"/>
  <c r="J76" i="30"/>
  <c r="J77" i="30"/>
  <c r="J78" i="30"/>
  <c r="J79" i="30"/>
  <c r="J80" i="30"/>
  <c r="J81" i="30"/>
  <c r="J82" i="30"/>
  <c r="J83" i="30"/>
  <c r="J84" i="30"/>
  <c r="L262" i="30"/>
  <c r="L8" i="31"/>
  <c r="D30" i="31"/>
  <c r="H52" i="31"/>
  <c r="H87" i="31"/>
  <c r="H109" i="31"/>
  <c r="L8" i="33"/>
  <c r="I29" i="33"/>
  <c r="L36" i="33"/>
  <c r="L84" i="33"/>
  <c r="K95" i="33"/>
  <c r="L96" i="33" s="1"/>
  <c r="J106" i="33"/>
  <c r="H37" i="31"/>
  <c r="H40" i="31"/>
  <c r="H77" i="31"/>
  <c r="H80" i="31"/>
  <c r="H83" i="31"/>
  <c r="J33" i="33"/>
  <c r="L41" i="33"/>
  <c r="J55" i="33"/>
  <c r="M73" i="31"/>
  <c r="N74" i="31" s="1"/>
  <c r="M29" i="31"/>
  <c r="J103" i="33"/>
  <c r="J81" i="33"/>
  <c r="J59" i="33"/>
  <c r="J53" i="33"/>
  <c r="J41" i="33"/>
  <c r="J35" i="33"/>
  <c r="J21" i="33"/>
  <c r="J104" i="33"/>
  <c r="J84" i="33"/>
  <c r="J82" i="33"/>
  <c r="J62" i="33"/>
  <c r="J60" i="33"/>
  <c r="J36" i="33"/>
  <c r="J108" i="33"/>
  <c r="J102" i="33"/>
  <c r="J100" i="33"/>
  <c r="J98" i="33"/>
  <c r="J86" i="33"/>
  <c r="J80" i="33"/>
  <c r="J78" i="33"/>
  <c r="J76" i="33"/>
  <c r="J64" i="33"/>
  <c r="J58" i="33"/>
  <c r="J56" i="33"/>
  <c r="J54" i="33"/>
  <c r="J37" i="33"/>
  <c r="J31" i="33"/>
  <c r="J19" i="33"/>
  <c r="J18" i="33"/>
  <c r="J17" i="33"/>
  <c r="J16" i="33"/>
  <c r="J15" i="33"/>
  <c r="J14" i="33"/>
  <c r="J13" i="33"/>
  <c r="J12" i="33"/>
  <c r="J11" i="33"/>
  <c r="J10" i="33"/>
  <c r="J9" i="33"/>
  <c r="J107" i="33"/>
  <c r="J42" i="33"/>
  <c r="J38" i="33"/>
  <c r="J32" i="33"/>
  <c r="J40" i="33"/>
  <c r="J61" i="33"/>
  <c r="J63" i="33"/>
  <c r="J77" i="33"/>
  <c r="J79" i="33"/>
  <c r="H107" i="31"/>
  <c r="H106" i="31"/>
  <c r="H105" i="31"/>
  <c r="H104" i="31"/>
  <c r="H103" i="31"/>
  <c r="H102" i="31"/>
  <c r="H101" i="31"/>
  <c r="H100" i="31"/>
  <c r="H99" i="31"/>
  <c r="H98" i="31"/>
  <c r="H97" i="31"/>
  <c r="H63" i="31"/>
  <c r="H62" i="31"/>
  <c r="H61" i="31"/>
  <c r="H60" i="31"/>
  <c r="H59" i="31"/>
  <c r="H58" i="31"/>
  <c r="H57" i="31"/>
  <c r="H56" i="31"/>
  <c r="H55" i="31"/>
  <c r="H54" i="31"/>
  <c r="H53" i="31"/>
  <c r="H108" i="31"/>
  <c r="H64" i="31"/>
  <c r="H32" i="31"/>
  <c r="H35" i="31"/>
  <c r="H38" i="31"/>
  <c r="H41" i="31"/>
  <c r="H42" i="31"/>
  <c r="M51" i="31"/>
  <c r="N52" i="31" s="1"/>
  <c r="H75" i="31"/>
  <c r="H78" i="31"/>
  <c r="H81" i="31"/>
  <c r="H84" i="31"/>
  <c r="L108" i="33"/>
  <c r="L105" i="33"/>
  <c r="L99" i="33"/>
  <c r="L83" i="33"/>
  <c r="L77" i="33"/>
  <c r="L61" i="33"/>
  <c r="L55" i="33"/>
  <c r="L104" i="33"/>
  <c r="L102" i="33"/>
  <c r="L100" i="33"/>
  <c r="L82" i="33"/>
  <c r="L80" i="33"/>
  <c r="L78" i="33"/>
  <c r="L60" i="33"/>
  <c r="L58" i="33"/>
  <c r="L56" i="33"/>
  <c r="L37" i="33"/>
  <c r="L31" i="33"/>
  <c r="L19" i="33"/>
  <c r="L18" i="33"/>
  <c r="L17" i="33"/>
  <c r="L16" i="33"/>
  <c r="L15" i="33"/>
  <c r="L14" i="33"/>
  <c r="L13" i="33"/>
  <c r="L12" i="33"/>
  <c r="L11" i="33"/>
  <c r="L10" i="33"/>
  <c r="L9" i="33"/>
  <c r="L107" i="33"/>
  <c r="L98" i="33"/>
  <c r="L86" i="33"/>
  <c r="L76" i="33"/>
  <c r="L64" i="33"/>
  <c r="L54" i="33"/>
  <c r="L42" i="33"/>
  <c r="L38" i="33"/>
  <c r="L32" i="33"/>
  <c r="L106" i="33"/>
  <c r="L85" i="33"/>
  <c r="L63" i="33"/>
  <c r="L39" i="33"/>
  <c r="L33" i="33"/>
  <c r="L20" i="33"/>
  <c r="L103" i="33"/>
  <c r="L101" i="33"/>
  <c r="L81" i="33"/>
  <c r="L79" i="33"/>
  <c r="L59" i="33"/>
  <c r="L57" i="33"/>
  <c r="L40" i="33"/>
  <c r="L34" i="33"/>
  <c r="K29" i="33"/>
  <c r="L35" i="33"/>
  <c r="I51" i="33"/>
  <c r="J83" i="33"/>
  <c r="J85" i="33"/>
  <c r="J99" i="33"/>
  <c r="J101" i="33"/>
  <c r="J105" i="33"/>
  <c r="F53" i="31"/>
  <c r="F54" i="31"/>
  <c r="F55" i="31"/>
  <c r="F56" i="31"/>
  <c r="F57" i="31"/>
  <c r="F58" i="31"/>
  <c r="F59" i="31"/>
  <c r="F60" i="31"/>
  <c r="F61" i="31"/>
  <c r="F62" i="31"/>
  <c r="F63" i="31"/>
  <c r="F97" i="31"/>
  <c r="F98" i="31"/>
  <c r="F99" i="31"/>
  <c r="F100" i="31"/>
  <c r="F101" i="31"/>
  <c r="F102" i="31"/>
  <c r="F103" i="31"/>
  <c r="F104" i="31"/>
  <c r="F105" i="31"/>
  <c r="F106" i="31"/>
  <c r="F107" i="31"/>
  <c r="N106" i="33"/>
  <c r="N101" i="33"/>
  <c r="M95" i="33"/>
  <c r="M73" i="33"/>
  <c r="M51" i="33"/>
  <c r="N8" i="33"/>
  <c r="F34" i="33"/>
  <c r="H36" i="33"/>
  <c r="N36" i="33"/>
  <c r="F40" i="33"/>
  <c r="F53" i="33"/>
  <c r="H58" i="33"/>
  <c r="H60" i="33"/>
  <c r="H62" i="33"/>
  <c r="H80" i="33"/>
  <c r="H82" i="33"/>
  <c r="H84" i="33"/>
  <c r="H102" i="33"/>
  <c r="H104" i="33"/>
  <c r="N105" i="33"/>
  <c r="H10" i="35"/>
  <c r="V10" i="35"/>
  <c r="AB15" i="35"/>
  <c r="H18" i="35"/>
  <c r="Q5" i="36"/>
  <c r="D8" i="33"/>
  <c r="H21" i="33"/>
  <c r="N30" i="33"/>
  <c r="H35" i="33"/>
  <c r="N35" i="33"/>
  <c r="H41" i="33"/>
  <c r="C51" i="33"/>
  <c r="C73" i="33"/>
  <c r="D74" i="33" s="1"/>
  <c r="F79" i="33"/>
  <c r="F81" i="33"/>
  <c r="C95" i="33"/>
  <c r="D96" i="33" s="1"/>
  <c r="F101" i="33"/>
  <c r="F30" i="31"/>
  <c r="F65" i="31"/>
  <c r="F108" i="33"/>
  <c r="F105" i="33"/>
  <c r="F99" i="33"/>
  <c r="F83" i="33"/>
  <c r="F77" i="33"/>
  <c r="F61" i="33"/>
  <c r="F55" i="33"/>
  <c r="F8" i="33"/>
  <c r="C29" i="33"/>
  <c r="F30" i="33" s="1"/>
  <c r="F32" i="33"/>
  <c r="H34" i="33"/>
  <c r="N34" i="33"/>
  <c r="F38" i="33"/>
  <c r="H40" i="33"/>
  <c r="N40" i="33"/>
  <c r="F42" i="33"/>
  <c r="E51" i="33"/>
  <c r="H53" i="33"/>
  <c r="H55" i="33"/>
  <c r="F63" i="33"/>
  <c r="E73" i="33"/>
  <c r="F74" i="33" s="1"/>
  <c r="H77" i="33"/>
  <c r="F85" i="33"/>
  <c r="E95" i="33"/>
  <c r="H99" i="33"/>
  <c r="H14" i="35"/>
  <c r="H8" i="35"/>
  <c r="H15" i="35"/>
  <c r="H9" i="35"/>
  <c r="N13" i="35"/>
  <c r="N14" i="35"/>
  <c r="N8" i="35"/>
  <c r="V18" i="35"/>
  <c r="V12" i="35"/>
  <c r="V13" i="35"/>
  <c r="AB17" i="35"/>
  <c r="AB11" i="35"/>
  <c r="AB18" i="35"/>
  <c r="AB12" i="35"/>
  <c r="AL7" i="35"/>
  <c r="AK7" i="35"/>
  <c r="AR7" i="35"/>
  <c r="AT7" i="35"/>
  <c r="AS7" i="35"/>
  <c r="V8" i="35"/>
  <c r="N11" i="35"/>
  <c r="AB13" i="35"/>
  <c r="H16" i="35"/>
  <c r="V16" i="35"/>
  <c r="AL29" i="35"/>
  <c r="H106" i="33"/>
  <c r="H107" i="33"/>
  <c r="H101" i="33"/>
  <c r="H85" i="33"/>
  <c r="H79" i="33"/>
  <c r="H63" i="33"/>
  <c r="H57" i="33"/>
  <c r="H8" i="33"/>
  <c r="H20" i="33"/>
  <c r="H33" i="33"/>
  <c r="N33" i="33"/>
  <c r="H39" i="33"/>
  <c r="G51" i="33"/>
  <c r="F54" i="33"/>
  <c r="H59" i="33"/>
  <c r="H61" i="33"/>
  <c r="F64" i="33"/>
  <c r="G73" i="33"/>
  <c r="F76" i="33"/>
  <c r="H81" i="33"/>
  <c r="H83" i="33"/>
  <c r="F86" i="33"/>
  <c r="G95" i="33"/>
  <c r="H96" i="33" s="1"/>
  <c r="F98" i="33"/>
  <c r="H103" i="33"/>
  <c r="F106" i="33"/>
  <c r="H7" i="35"/>
  <c r="N7" i="35"/>
  <c r="V7" i="35"/>
  <c r="AB7" i="35"/>
  <c r="AJ7" i="35"/>
  <c r="H13" i="35"/>
  <c r="V15" i="35"/>
  <c r="N18" i="35"/>
  <c r="I29" i="35"/>
  <c r="V29" i="35"/>
  <c r="J5" i="37"/>
  <c r="I5" i="37"/>
  <c r="P5" i="37"/>
  <c r="Q5" i="37"/>
  <c r="R5" i="39"/>
  <c r="N133" i="42"/>
  <c r="O133" i="42"/>
  <c r="M133" i="42"/>
  <c r="L133" i="42"/>
  <c r="C146" i="43"/>
  <c r="N135" i="43"/>
  <c r="L135" i="43"/>
  <c r="M135" i="43"/>
  <c r="O135" i="43"/>
  <c r="K135" i="43"/>
  <c r="J5" i="42"/>
  <c r="I5" i="42"/>
  <c r="H5" i="42"/>
  <c r="M5" i="42"/>
  <c r="L5" i="42"/>
  <c r="H123" i="39"/>
  <c r="I123" i="39"/>
  <c r="H133" i="40"/>
  <c r="G133" i="40"/>
  <c r="K5" i="39"/>
  <c r="T5" i="41"/>
  <c r="S5" i="41"/>
  <c r="R5" i="41"/>
  <c r="Q5" i="41"/>
  <c r="L5" i="39"/>
  <c r="N123" i="39"/>
  <c r="C129" i="39"/>
  <c r="D16" i="43"/>
  <c r="D129" i="39"/>
  <c r="J5" i="40"/>
  <c r="I5" i="40"/>
  <c r="H5" i="40"/>
  <c r="O133" i="40"/>
  <c r="N133" i="40"/>
  <c r="M133" i="40"/>
  <c r="L133" i="40"/>
  <c r="Q5" i="39"/>
  <c r="L123" i="39"/>
  <c r="E129" i="39"/>
  <c r="K133" i="40"/>
  <c r="N5" i="40"/>
  <c r="T5" i="40"/>
  <c r="F6" i="41"/>
  <c r="F7" i="41"/>
  <c r="F8" i="41"/>
  <c r="F9" i="41"/>
  <c r="O133" i="41"/>
  <c r="N5" i="42"/>
  <c r="T5" i="42"/>
  <c r="M5" i="43"/>
  <c r="D146" i="43"/>
  <c r="L5" i="41"/>
  <c r="F8" i="42"/>
  <c r="F10" i="42"/>
  <c r="Q5" i="43"/>
  <c r="T5" i="43"/>
  <c r="P5" i="40"/>
  <c r="M5" i="41"/>
  <c r="K133" i="41"/>
  <c r="P5" i="42"/>
  <c r="T5" i="44"/>
  <c r="R5" i="44"/>
  <c r="Q5" i="44"/>
  <c r="S5" i="44"/>
  <c r="P5" i="44"/>
  <c r="F6" i="40"/>
  <c r="F7" i="40"/>
  <c r="F8" i="40"/>
  <c r="F9" i="40"/>
  <c r="F6" i="42"/>
  <c r="I133" i="42"/>
  <c r="J5" i="43"/>
  <c r="R5" i="43"/>
  <c r="N5" i="43"/>
  <c r="C146" i="44"/>
  <c r="N135" i="44"/>
  <c r="F7" i="43"/>
  <c r="F8" i="43"/>
  <c r="F9" i="43"/>
  <c r="F10" i="43"/>
  <c r="F12" i="43"/>
  <c r="F13" i="43"/>
  <c r="F14" i="43"/>
  <c r="E146" i="43"/>
  <c r="L5" i="44"/>
  <c r="E146" i="44"/>
  <c r="N135" i="45"/>
  <c r="M135" i="45"/>
  <c r="K135" i="45"/>
  <c r="O135" i="45"/>
  <c r="L135" i="45"/>
  <c r="H135" i="43"/>
  <c r="G135" i="44"/>
  <c r="I5" i="45"/>
  <c r="F5" i="45"/>
  <c r="T5" i="45"/>
  <c r="S5" i="45"/>
  <c r="Q5" i="45"/>
  <c r="H5" i="45"/>
  <c r="D146" i="45"/>
  <c r="L135" i="44"/>
  <c r="H135" i="45"/>
  <c r="G135" i="45"/>
  <c r="M5" i="45"/>
  <c r="H74" i="33" l="1"/>
  <c r="J96" i="33"/>
  <c r="J102" i="18"/>
  <c r="J28" i="18"/>
  <c r="J9" i="18"/>
  <c r="J65" i="18"/>
  <c r="F96" i="33"/>
  <c r="N96" i="33"/>
  <c r="N74" i="25"/>
  <c r="J14" i="18"/>
  <c r="J44" i="18"/>
  <c r="J74" i="33"/>
  <c r="E57" i="12"/>
  <c r="K138" i="43"/>
  <c r="J103" i="18"/>
  <c r="J45" i="18"/>
  <c r="I145" i="45"/>
  <c r="H145" i="45"/>
  <c r="K145" i="45" s="1"/>
  <c r="G145" i="45"/>
  <c r="I140" i="45"/>
  <c r="H140" i="45"/>
  <c r="G140" i="45"/>
  <c r="G136" i="45"/>
  <c r="F146" i="45"/>
  <c r="I136" i="45"/>
  <c r="H136" i="45"/>
  <c r="K136" i="45" s="1"/>
  <c r="G142" i="45"/>
  <c r="I142" i="45"/>
  <c r="H142" i="45"/>
  <c r="I137" i="45"/>
  <c r="H137" i="45"/>
  <c r="G137" i="45"/>
  <c r="I143" i="45"/>
  <c r="H143" i="45"/>
  <c r="G143" i="45"/>
  <c r="L143" i="44"/>
  <c r="O143" i="44"/>
  <c r="M143" i="44"/>
  <c r="N143" i="44"/>
  <c r="O137" i="44"/>
  <c r="N137" i="44"/>
  <c r="L137" i="44"/>
  <c r="M137" i="44"/>
  <c r="G142" i="44"/>
  <c r="I142" i="44"/>
  <c r="H142" i="44"/>
  <c r="K142" i="44" s="1"/>
  <c r="I139" i="44"/>
  <c r="H139" i="44"/>
  <c r="K139" i="44" s="1"/>
  <c r="G139" i="44"/>
  <c r="N144" i="44"/>
  <c r="M144" i="44"/>
  <c r="L144" i="44"/>
  <c r="O144" i="44"/>
  <c r="O145" i="44"/>
  <c r="N145" i="44"/>
  <c r="L145" i="44"/>
  <c r="M145" i="44"/>
  <c r="I137" i="43"/>
  <c r="G137" i="43"/>
  <c r="H137" i="43"/>
  <c r="K137" i="43" s="1"/>
  <c r="L137" i="45"/>
  <c r="O137" i="45"/>
  <c r="N137" i="45"/>
  <c r="M137" i="45"/>
  <c r="O140" i="45"/>
  <c r="N140" i="45"/>
  <c r="L140" i="45"/>
  <c r="M140" i="45"/>
  <c r="N141" i="45"/>
  <c r="M141" i="45"/>
  <c r="L141" i="45"/>
  <c r="O141" i="45"/>
  <c r="M136" i="45"/>
  <c r="L136" i="45"/>
  <c r="J146" i="45"/>
  <c r="O136" i="45"/>
  <c r="N136" i="45"/>
  <c r="M142" i="45"/>
  <c r="L142" i="45"/>
  <c r="O142" i="45"/>
  <c r="N142" i="45"/>
  <c r="L143" i="45"/>
  <c r="O143" i="45"/>
  <c r="N143" i="45"/>
  <c r="M143" i="45"/>
  <c r="N138" i="45"/>
  <c r="O138" i="45"/>
  <c r="M138" i="45"/>
  <c r="L138" i="45"/>
  <c r="O144" i="45"/>
  <c r="N144" i="45"/>
  <c r="M144" i="45"/>
  <c r="L144" i="45"/>
  <c r="O139" i="45"/>
  <c r="M139" i="45"/>
  <c r="N139" i="45"/>
  <c r="L139" i="45"/>
  <c r="O145" i="45"/>
  <c r="N145" i="45"/>
  <c r="M145" i="45"/>
  <c r="L145" i="45"/>
  <c r="H141" i="43"/>
  <c r="K141" i="43" s="1"/>
  <c r="I141" i="43"/>
  <c r="G141" i="43"/>
  <c r="N9" i="43"/>
  <c r="M9" i="43"/>
  <c r="L9" i="43"/>
  <c r="N8" i="43"/>
  <c r="M8" i="43"/>
  <c r="L8" i="43"/>
  <c r="N7" i="43"/>
  <c r="M7" i="43"/>
  <c r="L7" i="43"/>
  <c r="N6" i="43"/>
  <c r="K16" i="43"/>
  <c r="M6" i="43"/>
  <c r="L6" i="43"/>
  <c r="E16" i="43"/>
  <c r="F16" i="43" s="1"/>
  <c r="F6" i="43"/>
  <c r="H15" i="43"/>
  <c r="J15" i="43"/>
  <c r="I15" i="43"/>
  <c r="H12" i="43"/>
  <c r="J12" i="43"/>
  <c r="I12" i="43"/>
  <c r="N7" i="42"/>
  <c r="M7" i="42"/>
  <c r="L7" i="42"/>
  <c r="N6" i="42"/>
  <c r="M6" i="42"/>
  <c r="L6" i="42"/>
  <c r="N9" i="40"/>
  <c r="L9" i="40"/>
  <c r="N8" i="40"/>
  <c r="L8" i="40"/>
  <c r="N7" i="40"/>
  <c r="M7" i="40"/>
  <c r="L7" i="40"/>
  <c r="N6" i="40"/>
  <c r="M6" i="40"/>
  <c r="L6" i="40"/>
  <c r="H10" i="43"/>
  <c r="I10" i="43"/>
  <c r="J10" i="43"/>
  <c r="H9" i="43"/>
  <c r="I9" i="43"/>
  <c r="J9" i="43"/>
  <c r="H8" i="43"/>
  <c r="I8" i="43"/>
  <c r="J8" i="43"/>
  <c r="H7" i="43"/>
  <c r="I7" i="43"/>
  <c r="J7" i="43"/>
  <c r="H6" i="43"/>
  <c r="I6" i="43"/>
  <c r="G16" i="43"/>
  <c r="J6" i="43"/>
  <c r="K134" i="41"/>
  <c r="O134" i="41"/>
  <c r="N134" i="41"/>
  <c r="L134" i="41"/>
  <c r="M134" i="41"/>
  <c r="H10" i="41"/>
  <c r="J10" i="41"/>
  <c r="I10" i="41"/>
  <c r="H9" i="41"/>
  <c r="M9" i="41"/>
  <c r="I9" i="41"/>
  <c r="J9" i="41"/>
  <c r="H8" i="41"/>
  <c r="M8" i="41"/>
  <c r="J8" i="41"/>
  <c r="I8" i="41"/>
  <c r="H7" i="41"/>
  <c r="J7" i="41"/>
  <c r="I7" i="41"/>
  <c r="H6" i="41"/>
  <c r="I6" i="41"/>
  <c r="J6" i="41"/>
  <c r="H14" i="43"/>
  <c r="J14" i="43"/>
  <c r="I14" i="43"/>
  <c r="H11" i="43"/>
  <c r="J11" i="43"/>
  <c r="I11" i="43"/>
  <c r="T10" i="43"/>
  <c r="Q10" i="43"/>
  <c r="R10" i="43"/>
  <c r="P10" i="43"/>
  <c r="S10" i="43"/>
  <c r="Q9" i="43"/>
  <c r="T9" i="43"/>
  <c r="R9" i="43"/>
  <c r="P9" i="43"/>
  <c r="S9" i="43"/>
  <c r="Q8" i="43"/>
  <c r="T8" i="43"/>
  <c r="R8" i="43"/>
  <c r="P8" i="43"/>
  <c r="S8" i="43"/>
  <c r="Q7" i="43"/>
  <c r="T7" i="43"/>
  <c r="R7" i="43"/>
  <c r="P7" i="43"/>
  <c r="S7" i="43"/>
  <c r="O16" i="43"/>
  <c r="Q6" i="43"/>
  <c r="T6" i="43"/>
  <c r="R6" i="43"/>
  <c r="P6" i="43"/>
  <c r="S6" i="43"/>
  <c r="T11" i="43"/>
  <c r="R11" i="43"/>
  <c r="S11" i="43"/>
  <c r="Q11" i="43"/>
  <c r="P11" i="43"/>
  <c r="T12" i="43"/>
  <c r="R12" i="43"/>
  <c r="S12" i="43"/>
  <c r="Q12" i="43"/>
  <c r="P12" i="43"/>
  <c r="T13" i="43"/>
  <c r="R13" i="43"/>
  <c r="S13" i="43"/>
  <c r="P13" i="43"/>
  <c r="Q13" i="43"/>
  <c r="T14" i="43"/>
  <c r="R14" i="43"/>
  <c r="S14" i="43"/>
  <c r="Q14" i="43"/>
  <c r="P14" i="43"/>
  <c r="T15" i="43"/>
  <c r="R15" i="43"/>
  <c r="S15" i="43"/>
  <c r="Q15" i="43"/>
  <c r="P15" i="43"/>
  <c r="P9" i="42"/>
  <c r="R9" i="42"/>
  <c r="Q9" i="42"/>
  <c r="T9" i="42"/>
  <c r="S9" i="42"/>
  <c r="P7" i="42"/>
  <c r="AA19" i="42"/>
  <c r="R7" i="42"/>
  <c r="Q7" i="42"/>
  <c r="S7" i="42"/>
  <c r="T7" i="42"/>
  <c r="Q6" i="42"/>
  <c r="P6" i="42"/>
  <c r="T6" i="42"/>
  <c r="R6" i="42"/>
  <c r="S6" i="42"/>
  <c r="Q10" i="40"/>
  <c r="AA20" i="40"/>
  <c r="P10" i="40"/>
  <c r="T10" i="40"/>
  <c r="S10" i="40"/>
  <c r="R10" i="40"/>
  <c r="Q9" i="40"/>
  <c r="P9" i="40"/>
  <c r="T9" i="40"/>
  <c r="S9" i="40"/>
  <c r="R9" i="40"/>
  <c r="Q8" i="40"/>
  <c r="P8" i="40"/>
  <c r="T8" i="40"/>
  <c r="S8" i="40"/>
  <c r="R8" i="40"/>
  <c r="Q7" i="40"/>
  <c r="P7" i="40"/>
  <c r="T7" i="40"/>
  <c r="AA19" i="40" s="1"/>
  <c r="S7" i="40"/>
  <c r="R7" i="40"/>
  <c r="Q6" i="40"/>
  <c r="P6" i="40"/>
  <c r="T6" i="40"/>
  <c r="S6" i="40"/>
  <c r="R6" i="40"/>
  <c r="G134" i="42"/>
  <c r="I134" i="42"/>
  <c r="H134" i="42"/>
  <c r="N10" i="42"/>
  <c r="M10" i="42"/>
  <c r="L10" i="42"/>
  <c r="N8" i="42"/>
  <c r="L8" i="42"/>
  <c r="N9" i="41"/>
  <c r="L9" i="41"/>
  <c r="N8" i="41"/>
  <c r="L8" i="41"/>
  <c r="N7" i="41"/>
  <c r="M7" i="41"/>
  <c r="L7" i="41"/>
  <c r="N6" i="41"/>
  <c r="M6" i="41"/>
  <c r="L6" i="41"/>
  <c r="O126" i="39"/>
  <c r="M126" i="39"/>
  <c r="N126" i="39"/>
  <c r="K126" i="39"/>
  <c r="L126" i="39"/>
  <c r="O124" i="39"/>
  <c r="N124" i="39"/>
  <c r="M124" i="39"/>
  <c r="L124" i="39"/>
  <c r="N125" i="39"/>
  <c r="M125" i="39"/>
  <c r="L125" i="39"/>
  <c r="K125" i="39"/>
  <c r="O125" i="39"/>
  <c r="T10" i="41"/>
  <c r="AA20" i="41" s="1"/>
  <c r="S10" i="41"/>
  <c r="R10" i="41"/>
  <c r="Q10" i="41"/>
  <c r="P10" i="41"/>
  <c r="T9" i="41"/>
  <c r="S9" i="41"/>
  <c r="R9" i="41"/>
  <c r="Q9" i="41"/>
  <c r="P9" i="41"/>
  <c r="T8" i="41"/>
  <c r="S8" i="41"/>
  <c r="R8" i="41"/>
  <c r="Q8" i="41"/>
  <c r="P8" i="41"/>
  <c r="T7" i="41"/>
  <c r="S7" i="41"/>
  <c r="R7" i="41"/>
  <c r="Q7" i="41"/>
  <c r="AA19" i="41"/>
  <c r="P7" i="41"/>
  <c r="T6" i="41"/>
  <c r="S6" i="41"/>
  <c r="R6" i="41"/>
  <c r="Q6" i="41"/>
  <c r="P6" i="41"/>
  <c r="I126" i="39"/>
  <c r="G126" i="39"/>
  <c r="H126" i="39"/>
  <c r="G124" i="39"/>
  <c r="H124" i="39"/>
  <c r="I127" i="39"/>
  <c r="F129" i="39"/>
  <c r="H127" i="39"/>
  <c r="G127" i="39"/>
  <c r="I40" i="36"/>
  <c r="J40" i="36"/>
  <c r="J6" i="42"/>
  <c r="I6" i="42"/>
  <c r="H6" i="42"/>
  <c r="J7" i="42"/>
  <c r="I7" i="42"/>
  <c r="H7" i="42"/>
  <c r="J9" i="42"/>
  <c r="I9" i="42"/>
  <c r="H9" i="42"/>
  <c r="M9" i="42"/>
  <c r="J8" i="42"/>
  <c r="M8" i="42"/>
  <c r="I8" i="42"/>
  <c r="H8" i="42"/>
  <c r="J10" i="42"/>
  <c r="H10" i="42"/>
  <c r="I10" i="42"/>
  <c r="M136" i="43"/>
  <c r="J146" i="43"/>
  <c r="N136" i="43"/>
  <c r="O136" i="43"/>
  <c r="L136" i="43"/>
  <c r="O140" i="43"/>
  <c r="M140" i="43"/>
  <c r="N140" i="43"/>
  <c r="L140" i="43"/>
  <c r="O144" i="43"/>
  <c r="N144" i="43"/>
  <c r="M144" i="43"/>
  <c r="L144" i="43"/>
  <c r="N141" i="43"/>
  <c r="L141" i="43"/>
  <c r="O141" i="43"/>
  <c r="M141" i="43"/>
  <c r="O138" i="43"/>
  <c r="N138" i="43"/>
  <c r="M138" i="43"/>
  <c r="L138" i="43"/>
  <c r="M142" i="43"/>
  <c r="N142" i="43"/>
  <c r="O142" i="43"/>
  <c r="L142" i="43"/>
  <c r="L137" i="43"/>
  <c r="N137" i="43"/>
  <c r="O137" i="43"/>
  <c r="M137" i="43"/>
  <c r="L143" i="43"/>
  <c r="O143" i="43"/>
  <c r="M143" i="43"/>
  <c r="N143" i="43"/>
  <c r="N139" i="43"/>
  <c r="O139" i="43"/>
  <c r="M139" i="43"/>
  <c r="L139" i="43"/>
  <c r="N145" i="43"/>
  <c r="M145" i="43"/>
  <c r="O145" i="43"/>
  <c r="L145" i="43"/>
  <c r="M134" i="42"/>
  <c r="O134" i="42"/>
  <c r="N134" i="42"/>
  <c r="L134" i="42"/>
  <c r="K134" i="42"/>
  <c r="J46" i="36"/>
  <c r="I46" i="36"/>
  <c r="J34" i="36"/>
  <c r="I34" i="36"/>
  <c r="J15" i="36"/>
  <c r="I15" i="36"/>
  <c r="J13" i="36"/>
  <c r="I13" i="36"/>
  <c r="J11" i="36"/>
  <c r="I11" i="36"/>
  <c r="J9" i="36"/>
  <c r="I9" i="36"/>
  <c r="J7" i="36"/>
  <c r="I7" i="36"/>
  <c r="J29" i="36"/>
  <c r="I29" i="36"/>
  <c r="J31" i="36"/>
  <c r="I31" i="36"/>
  <c r="J33" i="36"/>
  <c r="I33" i="36"/>
  <c r="J35" i="36"/>
  <c r="I35" i="36"/>
  <c r="J37" i="36"/>
  <c r="I37" i="36"/>
  <c r="I39" i="36"/>
  <c r="J39" i="36"/>
  <c r="J41" i="36"/>
  <c r="I41" i="36"/>
  <c r="J43" i="36"/>
  <c r="I43" i="36"/>
  <c r="J45" i="36"/>
  <c r="I45" i="36"/>
  <c r="J47" i="36"/>
  <c r="I47" i="36"/>
  <c r="J49" i="36"/>
  <c r="I49" i="36"/>
  <c r="I51" i="36"/>
  <c r="J51" i="36"/>
  <c r="AK37" i="35"/>
  <c r="AL37" i="35"/>
  <c r="AL35" i="35"/>
  <c r="AK35" i="35"/>
  <c r="AL33" i="35"/>
  <c r="AK33" i="35"/>
  <c r="AK31" i="35"/>
  <c r="AL31" i="35"/>
  <c r="P8" i="37"/>
  <c r="Q8" i="37"/>
  <c r="P7" i="37"/>
  <c r="Q7" i="37"/>
  <c r="P10" i="37"/>
  <c r="Q10" i="37"/>
  <c r="P13" i="37"/>
  <c r="Q13" i="37"/>
  <c r="Q48" i="37"/>
  <c r="P48" i="37"/>
  <c r="P9" i="37"/>
  <c r="Q9" i="37"/>
  <c r="P12" i="37"/>
  <c r="Q12" i="37"/>
  <c r="P15" i="37"/>
  <c r="Q15" i="37"/>
  <c r="P47" i="37"/>
  <c r="Q47" i="37"/>
  <c r="Q17" i="37"/>
  <c r="P17" i="37"/>
  <c r="Q19" i="37"/>
  <c r="P19" i="37"/>
  <c r="Q21" i="37"/>
  <c r="P21" i="37"/>
  <c r="P23" i="37"/>
  <c r="Q23" i="37"/>
  <c r="P25" i="37"/>
  <c r="Q25" i="37"/>
  <c r="P27" i="37"/>
  <c r="Q27" i="37"/>
  <c r="Q29" i="37"/>
  <c r="P29" i="37"/>
  <c r="Q31" i="37"/>
  <c r="P31" i="37"/>
  <c r="Q33" i="37"/>
  <c r="P33" i="37"/>
  <c r="Q35" i="37"/>
  <c r="P35" i="37"/>
  <c r="Q37" i="37"/>
  <c r="P37" i="37"/>
  <c r="Q39" i="37"/>
  <c r="P39" i="37"/>
  <c r="Q41" i="37"/>
  <c r="P41" i="37"/>
  <c r="Q43" i="37"/>
  <c r="P43" i="37"/>
  <c r="Q45" i="37"/>
  <c r="P45" i="37"/>
  <c r="P49" i="37"/>
  <c r="Q49" i="37"/>
  <c r="Q50" i="37"/>
  <c r="P50" i="37"/>
  <c r="P51" i="37"/>
  <c r="Q51" i="37"/>
  <c r="Q16" i="37"/>
  <c r="P16" i="37"/>
  <c r="Q18" i="37"/>
  <c r="P18" i="37"/>
  <c r="Q20" i="37"/>
  <c r="P20" i="37"/>
  <c r="Q22" i="37"/>
  <c r="P22" i="37"/>
  <c r="Q24" i="37"/>
  <c r="P24" i="37"/>
  <c r="Q26" i="37"/>
  <c r="P26" i="37"/>
  <c r="Q28" i="37"/>
  <c r="P28" i="37"/>
  <c r="Q30" i="37"/>
  <c r="P30" i="37"/>
  <c r="Q32" i="37"/>
  <c r="P32" i="37"/>
  <c r="Q34" i="37"/>
  <c r="P34" i="37"/>
  <c r="Q36" i="37"/>
  <c r="P36" i="37"/>
  <c r="Q38" i="37"/>
  <c r="P38" i="37"/>
  <c r="Q40" i="37"/>
  <c r="P40" i="37"/>
  <c r="Q42" i="37"/>
  <c r="P42" i="37"/>
  <c r="Q44" i="37"/>
  <c r="P44" i="37"/>
  <c r="Q46" i="37"/>
  <c r="P46" i="37"/>
  <c r="J18" i="36"/>
  <c r="I18" i="36"/>
  <c r="Q6" i="37"/>
  <c r="P6" i="37"/>
  <c r="J20" i="36"/>
  <c r="I20" i="36"/>
  <c r="J16" i="36"/>
  <c r="I16" i="36"/>
  <c r="J15" i="37"/>
  <c r="I15" i="37"/>
  <c r="J37" i="37"/>
  <c r="I37" i="37"/>
  <c r="J48" i="37"/>
  <c r="I48" i="37"/>
  <c r="J12" i="37"/>
  <c r="I12" i="37"/>
  <c r="I21" i="37"/>
  <c r="J21" i="37"/>
  <c r="J31" i="37"/>
  <c r="I31" i="37"/>
  <c r="J7" i="37"/>
  <c r="I7" i="37"/>
  <c r="J8" i="37"/>
  <c r="I8" i="37"/>
  <c r="J11" i="37"/>
  <c r="I11" i="37"/>
  <c r="J14" i="37"/>
  <c r="I14" i="37"/>
  <c r="J23" i="37"/>
  <c r="I23" i="37"/>
  <c r="J27" i="37"/>
  <c r="I27" i="37"/>
  <c r="I17" i="37"/>
  <c r="J17" i="37"/>
  <c r="I20" i="37"/>
  <c r="J20" i="37"/>
  <c r="I24" i="37"/>
  <c r="J24" i="37"/>
  <c r="I28" i="37"/>
  <c r="J28" i="37"/>
  <c r="J29" i="37"/>
  <c r="I29" i="37"/>
  <c r="J35" i="37"/>
  <c r="I35" i="37"/>
  <c r="J41" i="37"/>
  <c r="I41" i="37"/>
  <c r="J47" i="37"/>
  <c r="I47" i="37"/>
  <c r="J10" i="37"/>
  <c r="I10" i="37"/>
  <c r="J13" i="37"/>
  <c r="I13" i="37"/>
  <c r="I16" i="37"/>
  <c r="J16" i="37"/>
  <c r="I19" i="37"/>
  <c r="J19" i="37"/>
  <c r="I22" i="37"/>
  <c r="J22" i="37"/>
  <c r="J25" i="37"/>
  <c r="I25" i="37"/>
  <c r="J33" i="37"/>
  <c r="I33" i="37"/>
  <c r="J39" i="37"/>
  <c r="I39" i="37"/>
  <c r="J45" i="37"/>
  <c r="I45" i="37"/>
  <c r="J49" i="37"/>
  <c r="I49" i="37"/>
  <c r="J50" i="37"/>
  <c r="I50" i="37"/>
  <c r="J51" i="37"/>
  <c r="I51" i="37"/>
  <c r="I30" i="37"/>
  <c r="J30" i="37"/>
  <c r="I32" i="37"/>
  <c r="J32" i="37"/>
  <c r="I34" i="37"/>
  <c r="J34" i="37"/>
  <c r="I36" i="37"/>
  <c r="J36" i="37"/>
  <c r="I38" i="37"/>
  <c r="J38" i="37"/>
  <c r="I40" i="37"/>
  <c r="J40" i="37"/>
  <c r="I42" i="37"/>
  <c r="J42" i="37"/>
  <c r="I44" i="37"/>
  <c r="J44" i="37"/>
  <c r="I46" i="37"/>
  <c r="J46" i="37"/>
  <c r="W34" i="35"/>
  <c r="V34" i="35"/>
  <c r="V36" i="35"/>
  <c r="W36" i="35"/>
  <c r="V39" i="35"/>
  <c r="W39" i="35"/>
  <c r="I36" i="35"/>
  <c r="H36" i="35"/>
  <c r="I39" i="35"/>
  <c r="H39" i="35"/>
  <c r="I37" i="35"/>
  <c r="H37" i="35"/>
  <c r="I40" i="35"/>
  <c r="H40" i="35"/>
  <c r="AL15" i="35"/>
  <c r="AK15" i="35"/>
  <c r="AJ15" i="35"/>
  <c r="AR14" i="35"/>
  <c r="AU14" i="35"/>
  <c r="AT14" i="35"/>
  <c r="AV14" i="35"/>
  <c r="AS14" i="35"/>
  <c r="H65" i="33"/>
  <c r="H52" i="33"/>
  <c r="V35" i="35"/>
  <c r="W35" i="35"/>
  <c r="AL18" i="35"/>
  <c r="AK18" i="35"/>
  <c r="AJ18" i="35"/>
  <c r="AR15" i="35"/>
  <c r="AV15" i="35"/>
  <c r="AU15" i="35"/>
  <c r="AS15" i="35"/>
  <c r="AT15" i="35"/>
  <c r="AL8" i="35"/>
  <c r="AJ8" i="35"/>
  <c r="AK8" i="35"/>
  <c r="AR12" i="35"/>
  <c r="AS12" i="35"/>
  <c r="AV12" i="35"/>
  <c r="AU12" i="35"/>
  <c r="AT12" i="35"/>
  <c r="AR18" i="35"/>
  <c r="AS18" i="35"/>
  <c r="AV18" i="35"/>
  <c r="AU18" i="35"/>
  <c r="AT18" i="35"/>
  <c r="AR11" i="35"/>
  <c r="AV11" i="35"/>
  <c r="AU11" i="35"/>
  <c r="AT11" i="35"/>
  <c r="AS11" i="35"/>
  <c r="AQ22" i="35"/>
  <c r="AR17" i="35"/>
  <c r="AU17" i="35"/>
  <c r="AT17" i="35"/>
  <c r="AS17" i="35"/>
  <c r="AV17" i="35"/>
  <c r="AL11" i="35"/>
  <c r="AJ11" i="35"/>
  <c r="AK11" i="35"/>
  <c r="AL17" i="35"/>
  <c r="AJ17" i="35"/>
  <c r="AK17" i="35"/>
  <c r="AL10" i="35"/>
  <c r="AK10" i="35"/>
  <c r="AJ10" i="35"/>
  <c r="AL16" i="35"/>
  <c r="AJ16" i="35"/>
  <c r="AK16" i="35"/>
  <c r="G109" i="33"/>
  <c r="H97" i="33"/>
  <c r="G87" i="33"/>
  <c r="H75" i="33"/>
  <c r="F52" i="33"/>
  <c r="F65" i="33"/>
  <c r="D30" i="33"/>
  <c r="J43" i="37"/>
  <c r="I43" i="37"/>
  <c r="I18" i="37"/>
  <c r="J18" i="37"/>
  <c r="J9" i="37"/>
  <c r="I9" i="37"/>
  <c r="D52" i="33"/>
  <c r="Q7" i="36"/>
  <c r="P7" i="36"/>
  <c r="Q10" i="36"/>
  <c r="P10" i="36"/>
  <c r="Q14" i="36"/>
  <c r="P14" i="36"/>
  <c r="Q26" i="36"/>
  <c r="P26" i="36"/>
  <c r="Q33" i="36"/>
  <c r="P33" i="36"/>
  <c r="P18" i="36"/>
  <c r="Q18" i="36"/>
  <c r="Q42" i="36"/>
  <c r="P42" i="36"/>
  <c r="Q6" i="36"/>
  <c r="P6" i="36"/>
  <c r="Q11" i="36"/>
  <c r="P11" i="36"/>
  <c r="Q15" i="36"/>
  <c r="P15" i="36"/>
  <c r="Q24" i="36"/>
  <c r="P24" i="36"/>
  <c r="Q32" i="36"/>
  <c r="P32" i="36"/>
  <c r="Q45" i="36"/>
  <c r="P45" i="36"/>
  <c r="Q8" i="36"/>
  <c r="P8" i="36"/>
  <c r="Q12" i="36"/>
  <c r="P12" i="36"/>
  <c r="Q31" i="36"/>
  <c r="P31" i="36"/>
  <c r="Q34" i="36"/>
  <c r="P34" i="36"/>
  <c r="Q35" i="36"/>
  <c r="P35" i="36"/>
  <c r="Q46" i="36"/>
  <c r="P46" i="36"/>
  <c r="Q47" i="36"/>
  <c r="P47" i="36"/>
  <c r="Q36" i="36"/>
  <c r="P36" i="36"/>
  <c r="Q37" i="36"/>
  <c r="P37" i="36"/>
  <c r="Q48" i="36"/>
  <c r="P48" i="36"/>
  <c r="Q49" i="36"/>
  <c r="P49" i="36"/>
  <c r="P17" i="36"/>
  <c r="Q17" i="36"/>
  <c r="P19" i="36"/>
  <c r="Q19" i="36"/>
  <c r="P21" i="36"/>
  <c r="Q21" i="36"/>
  <c r="P23" i="36"/>
  <c r="Q23" i="36"/>
  <c r="P25" i="36"/>
  <c r="Q25" i="36"/>
  <c r="P27" i="36"/>
  <c r="Q27" i="36"/>
  <c r="Q38" i="36"/>
  <c r="P38" i="36"/>
  <c r="P39" i="36"/>
  <c r="Q39" i="36"/>
  <c r="Q50" i="36"/>
  <c r="P50" i="36"/>
  <c r="P51" i="36"/>
  <c r="Q51" i="36"/>
  <c r="Q28" i="36"/>
  <c r="P28" i="36"/>
  <c r="Q29" i="36"/>
  <c r="P29" i="36"/>
  <c r="Q40" i="36"/>
  <c r="P40" i="36"/>
  <c r="P41" i="36"/>
  <c r="Q41" i="36"/>
  <c r="V38" i="35"/>
  <c r="W38" i="35"/>
  <c r="I33" i="35"/>
  <c r="H33" i="35"/>
  <c r="I32" i="35"/>
  <c r="H32" i="35"/>
  <c r="AR9" i="35"/>
  <c r="AV9" i="35"/>
  <c r="AU9" i="35"/>
  <c r="AT9" i="35"/>
  <c r="AS9" i="35"/>
  <c r="F97" i="33"/>
  <c r="E109" i="33"/>
  <c r="F109" i="33" s="1"/>
  <c r="F75" i="33"/>
  <c r="E87" i="33"/>
  <c r="F87" i="33" s="1"/>
  <c r="N57" i="33"/>
  <c r="N52" i="33"/>
  <c r="N61" i="33"/>
  <c r="N59" i="33"/>
  <c r="N55" i="33"/>
  <c r="N53" i="33"/>
  <c r="N62" i="33"/>
  <c r="N60" i="33"/>
  <c r="N58" i="33"/>
  <c r="N54" i="33"/>
  <c r="N56" i="33"/>
  <c r="N79" i="33"/>
  <c r="N74" i="33"/>
  <c r="N83" i="33"/>
  <c r="N81" i="33"/>
  <c r="N77" i="33"/>
  <c r="N75" i="33"/>
  <c r="N84" i="33"/>
  <c r="N82" i="33"/>
  <c r="N80" i="33"/>
  <c r="N78" i="33"/>
  <c r="N76" i="33"/>
  <c r="L75" i="33"/>
  <c r="K87" i="33"/>
  <c r="J52" i="33"/>
  <c r="J65" i="33"/>
  <c r="L52" i="33"/>
  <c r="L30" i="33"/>
  <c r="L43" i="33"/>
  <c r="I87" i="33"/>
  <c r="J87" i="33" s="1"/>
  <c r="J75" i="33"/>
  <c r="I109" i="33"/>
  <c r="L109" i="33" s="1"/>
  <c r="J97" i="33"/>
  <c r="N106" i="31"/>
  <c r="N105" i="31"/>
  <c r="N104" i="31"/>
  <c r="N103" i="31"/>
  <c r="N102" i="31"/>
  <c r="N101" i="31"/>
  <c r="N100" i="31"/>
  <c r="N99" i="31"/>
  <c r="N98" i="31"/>
  <c r="N97" i="31"/>
  <c r="N62" i="31"/>
  <c r="N61" i="31"/>
  <c r="N60" i="31"/>
  <c r="N59" i="31"/>
  <c r="N58" i="31"/>
  <c r="N57" i="31"/>
  <c r="N56" i="31"/>
  <c r="N55" i="31"/>
  <c r="N54" i="31"/>
  <c r="N53" i="31"/>
  <c r="N30" i="31"/>
  <c r="N82" i="31"/>
  <c r="N79" i="31"/>
  <c r="N76" i="31"/>
  <c r="N39" i="31"/>
  <c r="N36" i="31"/>
  <c r="N33" i="31"/>
  <c r="N84" i="31"/>
  <c r="N81" i="31"/>
  <c r="N78" i="31"/>
  <c r="N75" i="31"/>
  <c r="N38" i="31"/>
  <c r="N35" i="31"/>
  <c r="N32" i="31"/>
  <c r="N83" i="31"/>
  <c r="N34" i="31"/>
  <c r="N80" i="31"/>
  <c r="N40" i="31"/>
  <c r="N31" i="31"/>
  <c r="N77" i="31"/>
  <c r="N37" i="31"/>
  <c r="J43" i="33"/>
  <c r="J30" i="33"/>
  <c r="M72" i="28"/>
  <c r="K72" i="28"/>
  <c r="J72" i="28"/>
  <c r="L72" i="28"/>
  <c r="I72" i="28"/>
  <c r="M29" i="28"/>
  <c r="L29" i="28"/>
  <c r="K29" i="28"/>
  <c r="I29" i="28"/>
  <c r="J29" i="28"/>
  <c r="K14" i="28"/>
  <c r="J14" i="28"/>
  <c r="M14" i="28"/>
  <c r="L14" i="28"/>
  <c r="I14" i="28"/>
  <c r="K157" i="27"/>
  <c r="J157" i="27"/>
  <c r="I157" i="27"/>
  <c r="J144" i="27"/>
  <c r="K144" i="27"/>
  <c r="I144" i="27"/>
  <c r="L71" i="28"/>
  <c r="J71" i="28"/>
  <c r="M71" i="28"/>
  <c r="K71" i="28"/>
  <c r="I71" i="28"/>
  <c r="J43" i="28"/>
  <c r="L43" i="28"/>
  <c r="M43" i="28"/>
  <c r="K43" i="28"/>
  <c r="I43" i="28"/>
  <c r="K27" i="28"/>
  <c r="J27" i="28"/>
  <c r="I27" i="28"/>
  <c r="M27" i="28"/>
  <c r="L27" i="28"/>
  <c r="I140" i="27"/>
  <c r="K140" i="27"/>
  <c r="J140" i="27"/>
  <c r="I138" i="27"/>
  <c r="H146" i="27"/>
  <c r="K138" i="27"/>
  <c r="J138" i="27"/>
  <c r="I136" i="27"/>
  <c r="K136" i="27"/>
  <c r="J136" i="27"/>
  <c r="I134" i="27"/>
  <c r="K134" i="27"/>
  <c r="J134" i="27"/>
  <c r="I131" i="27"/>
  <c r="K131" i="27"/>
  <c r="J131" i="27"/>
  <c r="I129" i="27"/>
  <c r="K129" i="27"/>
  <c r="J129" i="27"/>
  <c r="I127" i="27"/>
  <c r="K127" i="27"/>
  <c r="J127" i="27"/>
  <c r="I125" i="27"/>
  <c r="K125" i="27"/>
  <c r="J125" i="27"/>
  <c r="I123" i="27"/>
  <c r="K123" i="27"/>
  <c r="J123" i="27"/>
  <c r="I121" i="27"/>
  <c r="K121" i="27"/>
  <c r="J121" i="27"/>
  <c r="I116" i="27"/>
  <c r="K116" i="27"/>
  <c r="J116" i="27"/>
  <c r="I114" i="27"/>
  <c r="K114" i="27"/>
  <c r="J114" i="27"/>
  <c r="I112" i="27"/>
  <c r="K112" i="27"/>
  <c r="J112" i="27"/>
  <c r="I110" i="27"/>
  <c r="H118" i="27"/>
  <c r="K110" i="27"/>
  <c r="J110" i="27"/>
  <c r="I108" i="27"/>
  <c r="K108" i="27"/>
  <c r="J108" i="27"/>
  <c r="I106" i="27"/>
  <c r="K106" i="27"/>
  <c r="J106" i="27"/>
  <c r="I103" i="27"/>
  <c r="K103" i="27"/>
  <c r="J103" i="27"/>
  <c r="I101" i="27"/>
  <c r="K101" i="27"/>
  <c r="J101" i="27"/>
  <c r="I99" i="27"/>
  <c r="K99" i="27"/>
  <c r="J99" i="27"/>
  <c r="I97" i="27"/>
  <c r="K97" i="27"/>
  <c r="J97" i="27"/>
  <c r="I95" i="27"/>
  <c r="K95" i="27"/>
  <c r="J95" i="27"/>
  <c r="I93" i="27"/>
  <c r="K93" i="27"/>
  <c r="J93" i="27"/>
  <c r="I88" i="27"/>
  <c r="K88" i="27"/>
  <c r="J88" i="27"/>
  <c r="I86" i="27"/>
  <c r="K86" i="27"/>
  <c r="J86" i="27"/>
  <c r="I84" i="27"/>
  <c r="K84" i="27"/>
  <c r="J84" i="27"/>
  <c r="I82" i="27"/>
  <c r="H90" i="27"/>
  <c r="K82" i="27"/>
  <c r="J82" i="27"/>
  <c r="I80" i="27"/>
  <c r="K80" i="27"/>
  <c r="J80" i="27"/>
  <c r="I78" i="27"/>
  <c r="K78" i="27"/>
  <c r="J78" i="27"/>
  <c r="I75" i="27"/>
  <c r="K75" i="27"/>
  <c r="J75" i="27"/>
  <c r="I73" i="27"/>
  <c r="K73" i="27"/>
  <c r="J73" i="27"/>
  <c r="I71" i="27"/>
  <c r="K71" i="27"/>
  <c r="J71" i="27"/>
  <c r="I69" i="27"/>
  <c r="K69" i="27"/>
  <c r="J69" i="27"/>
  <c r="I67" i="27"/>
  <c r="K67" i="27"/>
  <c r="J67" i="27"/>
  <c r="I65" i="27"/>
  <c r="K65" i="27"/>
  <c r="J65" i="27"/>
  <c r="I60" i="27"/>
  <c r="K60" i="27"/>
  <c r="J60" i="27"/>
  <c r="I58" i="27"/>
  <c r="K58" i="27"/>
  <c r="J58" i="27"/>
  <c r="I56" i="27"/>
  <c r="K56" i="27"/>
  <c r="J56" i="27"/>
  <c r="I54" i="27"/>
  <c r="H62" i="27"/>
  <c r="K54" i="27"/>
  <c r="J54" i="27"/>
  <c r="I52" i="27"/>
  <c r="K52" i="27"/>
  <c r="J52" i="27"/>
  <c r="I50" i="27"/>
  <c r="K50" i="27"/>
  <c r="J50" i="27"/>
  <c r="I47" i="27"/>
  <c r="K47" i="27"/>
  <c r="J47" i="27"/>
  <c r="I45" i="27"/>
  <c r="K45" i="27"/>
  <c r="J45" i="27"/>
  <c r="I43" i="27"/>
  <c r="K43" i="27"/>
  <c r="J43" i="27"/>
  <c r="I41" i="27"/>
  <c r="K41" i="27"/>
  <c r="J41" i="27"/>
  <c r="I39" i="27"/>
  <c r="K39" i="27"/>
  <c r="J39" i="27"/>
  <c r="I37" i="27"/>
  <c r="K37" i="27"/>
  <c r="J37" i="27"/>
  <c r="I32" i="27"/>
  <c r="K32" i="27"/>
  <c r="J32" i="27"/>
  <c r="I30" i="27"/>
  <c r="K30" i="27"/>
  <c r="J30" i="27"/>
  <c r="I28" i="27"/>
  <c r="K28" i="27"/>
  <c r="J28" i="27"/>
  <c r="I26" i="27"/>
  <c r="H34" i="27"/>
  <c r="K26" i="27"/>
  <c r="J26" i="27"/>
  <c r="I24" i="27"/>
  <c r="K24" i="27"/>
  <c r="J24" i="27"/>
  <c r="I22" i="27"/>
  <c r="K22" i="27"/>
  <c r="J22" i="27"/>
  <c r="I19" i="27"/>
  <c r="K19" i="27"/>
  <c r="J19" i="27"/>
  <c r="I17" i="27"/>
  <c r="K17" i="27"/>
  <c r="J17" i="27"/>
  <c r="I15" i="27"/>
  <c r="K15" i="27"/>
  <c r="J15" i="27"/>
  <c r="I13" i="27"/>
  <c r="K13" i="27"/>
  <c r="J13" i="27"/>
  <c r="I11" i="27"/>
  <c r="K11" i="27"/>
  <c r="J11" i="27"/>
  <c r="I9" i="27"/>
  <c r="K9" i="27"/>
  <c r="J9" i="27"/>
  <c r="J156" i="27"/>
  <c r="K156" i="27"/>
  <c r="I156" i="27"/>
  <c r="J158" i="27"/>
  <c r="K158" i="27"/>
  <c r="I158" i="27"/>
  <c r="L109" i="28"/>
  <c r="K109" i="28"/>
  <c r="I109" i="28"/>
  <c r="M109" i="28"/>
  <c r="J109" i="28"/>
  <c r="K70" i="28"/>
  <c r="I70" i="28"/>
  <c r="M70" i="28"/>
  <c r="L70" i="28"/>
  <c r="J70" i="28"/>
  <c r="M16" i="28"/>
  <c r="L16" i="28"/>
  <c r="K16" i="28"/>
  <c r="I16" i="28"/>
  <c r="J16" i="28"/>
  <c r="L9" i="28"/>
  <c r="K9" i="28"/>
  <c r="M9" i="28"/>
  <c r="J9" i="28"/>
  <c r="I9" i="28"/>
  <c r="L15" i="28"/>
  <c r="K15" i="28"/>
  <c r="I15" i="28"/>
  <c r="M15" i="28"/>
  <c r="J15" i="28"/>
  <c r="L22" i="28"/>
  <c r="K22" i="28"/>
  <c r="J22" i="28"/>
  <c r="M22" i="28"/>
  <c r="I22" i="28"/>
  <c r="L28" i="28"/>
  <c r="K28" i="28"/>
  <c r="J28" i="28"/>
  <c r="M28" i="28"/>
  <c r="I28" i="28"/>
  <c r="M40" i="28"/>
  <c r="I40" i="28"/>
  <c r="L40" i="28"/>
  <c r="K40" i="28"/>
  <c r="H48" i="28"/>
  <c r="J40" i="28"/>
  <c r="L52" i="28"/>
  <c r="J52" i="28"/>
  <c r="M52" i="28"/>
  <c r="K52" i="28"/>
  <c r="I52" i="28"/>
  <c r="L78" i="28"/>
  <c r="J78" i="28"/>
  <c r="I78" i="28"/>
  <c r="M78" i="28"/>
  <c r="K78" i="28"/>
  <c r="J81" i="28"/>
  <c r="I81" i="28"/>
  <c r="M81" i="28"/>
  <c r="L81" i="28"/>
  <c r="K81" i="28"/>
  <c r="M103" i="28"/>
  <c r="L103" i="28"/>
  <c r="J103" i="28"/>
  <c r="K103" i="28"/>
  <c r="I103" i="28"/>
  <c r="L128" i="28"/>
  <c r="K128" i="28"/>
  <c r="I128" i="28"/>
  <c r="J128" i="28"/>
  <c r="M128" i="28"/>
  <c r="J149" i="28"/>
  <c r="M149" i="28"/>
  <c r="K149" i="28"/>
  <c r="L149" i="28"/>
  <c r="I149" i="28"/>
  <c r="M53" i="28"/>
  <c r="K53" i="28"/>
  <c r="J53" i="28"/>
  <c r="I53" i="28"/>
  <c r="L53" i="28"/>
  <c r="J56" i="28"/>
  <c r="I56" i="28"/>
  <c r="M56" i="28"/>
  <c r="L56" i="28"/>
  <c r="K56" i="28"/>
  <c r="M84" i="28"/>
  <c r="L84" i="28"/>
  <c r="J84" i="28"/>
  <c r="K84" i="28"/>
  <c r="I84" i="28"/>
  <c r="L89" i="28"/>
  <c r="K89" i="28"/>
  <c r="I89" i="28"/>
  <c r="J89" i="28"/>
  <c r="M89" i="28"/>
  <c r="J94" i="28"/>
  <c r="I94" i="28"/>
  <c r="M94" i="28"/>
  <c r="L94" i="28"/>
  <c r="K94" i="28"/>
  <c r="M116" i="28"/>
  <c r="L116" i="28"/>
  <c r="J116" i="28"/>
  <c r="K116" i="28"/>
  <c r="I116" i="28"/>
  <c r="J19" i="28"/>
  <c r="I19" i="28"/>
  <c r="L19" i="28"/>
  <c r="M19" i="28"/>
  <c r="K19" i="28"/>
  <c r="H34" i="28"/>
  <c r="J26" i="28"/>
  <c r="I26" i="28"/>
  <c r="L26" i="28"/>
  <c r="M26" i="28"/>
  <c r="K26" i="28"/>
  <c r="J38" i="28"/>
  <c r="K38" i="28"/>
  <c r="I38" i="28"/>
  <c r="M38" i="28"/>
  <c r="L38" i="28"/>
  <c r="L45" i="28"/>
  <c r="K45" i="28"/>
  <c r="J45" i="28"/>
  <c r="I45" i="28"/>
  <c r="M45" i="28"/>
  <c r="K57" i="28"/>
  <c r="M57" i="28"/>
  <c r="J57" i="28"/>
  <c r="I57" i="28"/>
  <c r="L57" i="28"/>
  <c r="M97" i="28"/>
  <c r="L97" i="28"/>
  <c r="J97" i="28"/>
  <c r="K97" i="28"/>
  <c r="I97" i="28"/>
  <c r="L102" i="28"/>
  <c r="K102" i="28"/>
  <c r="I102" i="28"/>
  <c r="J102" i="28"/>
  <c r="M102" i="28"/>
  <c r="J107" i="28"/>
  <c r="I107" i="28"/>
  <c r="M107" i="28"/>
  <c r="L107" i="28"/>
  <c r="K107" i="28"/>
  <c r="L122" i="28"/>
  <c r="K122" i="28"/>
  <c r="I122" i="28"/>
  <c r="J122" i="28"/>
  <c r="M122" i="28"/>
  <c r="I12" i="28"/>
  <c r="K12" i="28"/>
  <c r="M12" i="28"/>
  <c r="L12" i="28"/>
  <c r="J12" i="28"/>
  <c r="H20" i="28"/>
  <c r="I18" i="28"/>
  <c r="M18" i="28"/>
  <c r="K18" i="28"/>
  <c r="J18" i="28"/>
  <c r="L18" i="28"/>
  <c r="I25" i="28"/>
  <c r="M25" i="28"/>
  <c r="K25" i="28"/>
  <c r="L25" i="28"/>
  <c r="J25" i="28"/>
  <c r="J50" i="28"/>
  <c r="K50" i="28"/>
  <c r="I50" i="28"/>
  <c r="M50" i="28"/>
  <c r="L50" i="28"/>
  <c r="L83" i="28"/>
  <c r="K83" i="28"/>
  <c r="I83" i="28"/>
  <c r="J83" i="28"/>
  <c r="M83" i="28"/>
  <c r="M110" i="28"/>
  <c r="H118" i="28"/>
  <c r="L110" i="28"/>
  <c r="J110" i="28"/>
  <c r="I110" i="28"/>
  <c r="K110" i="28"/>
  <c r="L115" i="28"/>
  <c r="K115" i="28"/>
  <c r="I115" i="28"/>
  <c r="J115" i="28"/>
  <c r="M115" i="28"/>
  <c r="M129" i="28"/>
  <c r="L129" i="28"/>
  <c r="J129" i="28"/>
  <c r="K129" i="28"/>
  <c r="I129" i="28"/>
  <c r="K137" i="28"/>
  <c r="M137" i="28"/>
  <c r="L137" i="28"/>
  <c r="I137" i="28"/>
  <c r="J137" i="28"/>
  <c r="L151" i="28"/>
  <c r="M151" i="28"/>
  <c r="J151" i="28"/>
  <c r="K151" i="28"/>
  <c r="I151" i="28"/>
  <c r="M11" i="28"/>
  <c r="J11" i="28"/>
  <c r="L11" i="28"/>
  <c r="K11" i="28"/>
  <c r="I11" i="28"/>
  <c r="M17" i="28"/>
  <c r="L17" i="28"/>
  <c r="J17" i="28"/>
  <c r="K17" i="28"/>
  <c r="I17" i="28"/>
  <c r="M24" i="28"/>
  <c r="L24" i="28"/>
  <c r="J24" i="28"/>
  <c r="I24" i="28"/>
  <c r="K24" i="28"/>
  <c r="I30" i="28"/>
  <c r="M30" i="28"/>
  <c r="K30" i="28"/>
  <c r="L30" i="28"/>
  <c r="J30" i="28"/>
  <c r="K32" i="28"/>
  <c r="M32" i="28"/>
  <c r="J32" i="28"/>
  <c r="L32" i="28"/>
  <c r="I32" i="28"/>
  <c r="L39" i="28"/>
  <c r="M39" i="28"/>
  <c r="K39" i="28"/>
  <c r="J39" i="28"/>
  <c r="I39" i="28"/>
  <c r="K51" i="28"/>
  <c r="M51" i="28"/>
  <c r="L51" i="28"/>
  <c r="J51" i="28"/>
  <c r="I51" i="28"/>
  <c r="L58" i="28"/>
  <c r="J58" i="28"/>
  <c r="I58" i="28"/>
  <c r="M58" i="28"/>
  <c r="K58" i="28"/>
  <c r="I61" i="28"/>
  <c r="M61" i="28"/>
  <c r="L61" i="28"/>
  <c r="K61" i="28"/>
  <c r="J61" i="28"/>
  <c r="L65" i="28"/>
  <c r="J65" i="28"/>
  <c r="M65" i="28"/>
  <c r="K65" i="28"/>
  <c r="I65" i="28"/>
  <c r="M66" i="28"/>
  <c r="K66" i="28"/>
  <c r="L66" i="28"/>
  <c r="J66" i="28"/>
  <c r="I66" i="28"/>
  <c r="H104" i="28"/>
  <c r="L96" i="28"/>
  <c r="K96" i="28"/>
  <c r="I96" i="28"/>
  <c r="M96" i="28"/>
  <c r="J96" i="28"/>
  <c r="I135" i="28"/>
  <c r="M135" i="28"/>
  <c r="L135" i="28"/>
  <c r="J135" i="28"/>
  <c r="K135" i="28"/>
  <c r="M139" i="28"/>
  <c r="L139" i="28"/>
  <c r="K139" i="28"/>
  <c r="I139" i="28"/>
  <c r="J139" i="28"/>
  <c r="L157" i="28"/>
  <c r="M157" i="28"/>
  <c r="K157" i="28"/>
  <c r="I157" i="28"/>
  <c r="J157" i="28"/>
  <c r="J120" i="28"/>
  <c r="I120" i="28"/>
  <c r="M120" i="28"/>
  <c r="L120" i="28"/>
  <c r="K120" i="28"/>
  <c r="I148" i="28"/>
  <c r="K148" i="28"/>
  <c r="J148" i="28"/>
  <c r="M148" i="28"/>
  <c r="L148" i="28"/>
  <c r="M152" i="28"/>
  <c r="H160" i="28"/>
  <c r="J152" i="28"/>
  <c r="I152" i="28"/>
  <c r="L152" i="28"/>
  <c r="K152" i="28"/>
  <c r="J155" i="28"/>
  <c r="M155" i="28"/>
  <c r="L155" i="28"/>
  <c r="I155" i="28"/>
  <c r="K155" i="28"/>
  <c r="K36" i="28"/>
  <c r="J36" i="28"/>
  <c r="I36" i="28"/>
  <c r="M36" i="28"/>
  <c r="L36" i="28"/>
  <c r="I42" i="28"/>
  <c r="J42" i="28"/>
  <c r="M42" i="28"/>
  <c r="L42" i="28"/>
  <c r="K42" i="28"/>
  <c r="K44" i="28"/>
  <c r="M44" i="28"/>
  <c r="L44" i="28"/>
  <c r="J44" i="28"/>
  <c r="I44" i="28"/>
  <c r="M46" i="28"/>
  <c r="I46" i="28"/>
  <c r="L46" i="28"/>
  <c r="K46" i="28"/>
  <c r="J46" i="28"/>
  <c r="M59" i="28"/>
  <c r="K59" i="28"/>
  <c r="I59" i="28"/>
  <c r="L59" i="28"/>
  <c r="J59" i="28"/>
  <c r="K64" i="28"/>
  <c r="I64" i="28"/>
  <c r="M64" i="28"/>
  <c r="L64" i="28"/>
  <c r="J64" i="28"/>
  <c r="M79" i="28"/>
  <c r="K79" i="28"/>
  <c r="L79" i="28"/>
  <c r="J79" i="28"/>
  <c r="I79" i="28"/>
  <c r="J87" i="28"/>
  <c r="I87" i="28"/>
  <c r="M87" i="28"/>
  <c r="K87" i="28"/>
  <c r="L87" i="28"/>
  <c r="J100" i="28"/>
  <c r="I100" i="28"/>
  <c r="M100" i="28"/>
  <c r="L100" i="28"/>
  <c r="K100" i="28"/>
  <c r="J113" i="28"/>
  <c r="I113" i="28"/>
  <c r="M113" i="28"/>
  <c r="L113" i="28"/>
  <c r="K113" i="28"/>
  <c r="J126" i="28"/>
  <c r="I126" i="28"/>
  <c r="M126" i="28"/>
  <c r="L126" i="28"/>
  <c r="K126" i="28"/>
  <c r="K150" i="28"/>
  <c r="J150" i="28"/>
  <c r="I150" i="28"/>
  <c r="M150" i="28"/>
  <c r="L150" i="28"/>
  <c r="J69" i="28"/>
  <c r="M69" i="28"/>
  <c r="L69" i="28"/>
  <c r="K69" i="28"/>
  <c r="I69" i="28"/>
  <c r="J75" i="28"/>
  <c r="M75" i="28"/>
  <c r="L75" i="28"/>
  <c r="K75" i="28"/>
  <c r="I75" i="28"/>
  <c r="K82" i="28"/>
  <c r="J82" i="28"/>
  <c r="M82" i="28"/>
  <c r="L82" i="28"/>
  <c r="H90" i="28"/>
  <c r="I82" i="28"/>
  <c r="K88" i="28"/>
  <c r="J88" i="28"/>
  <c r="I88" i="28"/>
  <c r="M88" i="28"/>
  <c r="L88" i="28"/>
  <c r="K95" i="28"/>
  <c r="J95" i="28"/>
  <c r="M95" i="28"/>
  <c r="L95" i="28"/>
  <c r="I95" i="28"/>
  <c r="K101" i="28"/>
  <c r="J101" i="28"/>
  <c r="I101" i="28"/>
  <c r="L101" i="28"/>
  <c r="M101" i="28"/>
  <c r="K108" i="28"/>
  <c r="J108" i="28"/>
  <c r="M108" i="28"/>
  <c r="L108" i="28"/>
  <c r="I108" i="28"/>
  <c r="K114" i="28"/>
  <c r="J114" i="28"/>
  <c r="I114" i="28"/>
  <c r="M114" i="28"/>
  <c r="L114" i="28"/>
  <c r="K121" i="28"/>
  <c r="J121" i="28"/>
  <c r="I121" i="28"/>
  <c r="M121" i="28"/>
  <c r="L121" i="28"/>
  <c r="K127" i="28"/>
  <c r="J127" i="28"/>
  <c r="I127" i="28"/>
  <c r="M127" i="28"/>
  <c r="L127" i="28"/>
  <c r="K134" i="28"/>
  <c r="J134" i="28"/>
  <c r="I134" i="28"/>
  <c r="M134" i="28"/>
  <c r="L134" i="28"/>
  <c r="I141" i="28"/>
  <c r="L141" i="28"/>
  <c r="K141" i="28"/>
  <c r="J141" i="28"/>
  <c r="M141" i="28"/>
  <c r="K143" i="28"/>
  <c r="L143" i="28"/>
  <c r="J143" i="28"/>
  <c r="I143" i="28"/>
  <c r="M143" i="28"/>
  <c r="M145" i="28"/>
  <c r="K145" i="28"/>
  <c r="J145" i="28"/>
  <c r="I145" i="28"/>
  <c r="L145" i="28"/>
  <c r="L41" i="28"/>
  <c r="K41" i="28"/>
  <c r="J41" i="28"/>
  <c r="I41" i="28"/>
  <c r="M41" i="28"/>
  <c r="K47" i="28"/>
  <c r="M47" i="28"/>
  <c r="L47" i="28"/>
  <c r="J47" i="28"/>
  <c r="I47" i="28"/>
  <c r="H62" i="28"/>
  <c r="J54" i="28"/>
  <c r="I54" i="28"/>
  <c r="M54" i="28"/>
  <c r="L54" i="28"/>
  <c r="K54" i="28"/>
  <c r="L60" i="28"/>
  <c r="I60" i="28"/>
  <c r="M60" i="28"/>
  <c r="K60" i="28"/>
  <c r="J60" i="28"/>
  <c r="L67" i="28"/>
  <c r="K67" i="28"/>
  <c r="M67" i="28"/>
  <c r="J67" i="28"/>
  <c r="I67" i="28"/>
  <c r="L73" i="28"/>
  <c r="I73" i="28"/>
  <c r="M73" i="28"/>
  <c r="K73" i="28"/>
  <c r="J73" i="28"/>
  <c r="L80" i="28"/>
  <c r="M80" i="28"/>
  <c r="K80" i="28"/>
  <c r="J80" i="28"/>
  <c r="I80" i="28"/>
  <c r="I86" i="28"/>
  <c r="L86" i="28"/>
  <c r="M86" i="28"/>
  <c r="K86" i="28"/>
  <c r="J86" i="28"/>
  <c r="I93" i="28"/>
  <c r="L93" i="28"/>
  <c r="M93" i="28"/>
  <c r="K93" i="28"/>
  <c r="J93" i="28"/>
  <c r="I99" i="28"/>
  <c r="L99" i="28"/>
  <c r="M99" i="28"/>
  <c r="K99" i="28"/>
  <c r="J99" i="28"/>
  <c r="I106" i="28"/>
  <c r="L106" i="28"/>
  <c r="M106" i="28"/>
  <c r="J106" i="28"/>
  <c r="K106" i="28"/>
  <c r="I112" i="28"/>
  <c r="L112" i="28"/>
  <c r="M112" i="28"/>
  <c r="K112" i="28"/>
  <c r="J112" i="28"/>
  <c r="I125" i="28"/>
  <c r="L125" i="28"/>
  <c r="M125" i="28"/>
  <c r="K125" i="28"/>
  <c r="J125" i="28"/>
  <c r="I131" i="28"/>
  <c r="L131" i="28"/>
  <c r="M131" i="28"/>
  <c r="K131" i="28"/>
  <c r="J131" i="28"/>
  <c r="J136" i="28"/>
  <c r="I136" i="28"/>
  <c r="M136" i="28"/>
  <c r="L136" i="28"/>
  <c r="K136" i="28"/>
  <c r="H146" i="28"/>
  <c r="L138" i="28"/>
  <c r="I138" i="28"/>
  <c r="M138" i="28"/>
  <c r="K138" i="28"/>
  <c r="J138" i="28"/>
  <c r="I154" i="28"/>
  <c r="J154" i="28"/>
  <c r="M154" i="28"/>
  <c r="L154" i="28"/>
  <c r="K154" i="28"/>
  <c r="K156" i="28"/>
  <c r="I156" i="28"/>
  <c r="M156" i="28"/>
  <c r="L156" i="28"/>
  <c r="J156" i="28"/>
  <c r="M158" i="28"/>
  <c r="I158" i="28"/>
  <c r="L158" i="28"/>
  <c r="J158" i="28"/>
  <c r="K158" i="28"/>
  <c r="M85" i="28"/>
  <c r="K85" i="28"/>
  <c r="L85" i="28"/>
  <c r="J85" i="28"/>
  <c r="I85" i="28"/>
  <c r="M92" i="28"/>
  <c r="K92" i="28"/>
  <c r="L92" i="28"/>
  <c r="I92" i="28"/>
  <c r="J92" i="28"/>
  <c r="M98" i="28"/>
  <c r="K98" i="28"/>
  <c r="L98" i="28"/>
  <c r="J98" i="28"/>
  <c r="I98" i="28"/>
  <c r="M111" i="28"/>
  <c r="K111" i="28"/>
  <c r="L111" i="28"/>
  <c r="J111" i="28"/>
  <c r="I111" i="28"/>
  <c r="M117" i="28"/>
  <c r="K117" i="28"/>
  <c r="L117" i="28"/>
  <c r="J117" i="28"/>
  <c r="I117" i="28"/>
  <c r="M124" i="28"/>
  <c r="K124" i="28"/>
  <c r="H132" i="28"/>
  <c r="L124" i="28"/>
  <c r="J124" i="28"/>
  <c r="I124" i="28"/>
  <c r="M130" i="28"/>
  <c r="K130" i="28"/>
  <c r="L130" i="28"/>
  <c r="J130" i="28"/>
  <c r="I130" i="28"/>
  <c r="J142" i="28"/>
  <c r="L142" i="28"/>
  <c r="M142" i="28"/>
  <c r="K142" i="28"/>
  <c r="I142" i="28"/>
  <c r="L144" i="28"/>
  <c r="K144" i="28"/>
  <c r="M144" i="28"/>
  <c r="J144" i="28"/>
  <c r="I144" i="28"/>
  <c r="I140" i="28"/>
  <c r="L140" i="28"/>
  <c r="M140" i="28"/>
  <c r="K140" i="28"/>
  <c r="J140" i="28"/>
  <c r="M153" i="28"/>
  <c r="L153" i="28"/>
  <c r="J153" i="28"/>
  <c r="K153" i="28"/>
  <c r="I153" i="28"/>
  <c r="L159" i="28"/>
  <c r="K159" i="28"/>
  <c r="J159" i="28"/>
  <c r="I159" i="28"/>
  <c r="M159" i="28"/>
  <c r="K159" i="27"/>
  <c r="J159" i="27"/>
  <c r="I159" i="27"/>
  <c r="K155" i="27"/>
  <c r="J155" i="27"/>
  <c r="I155" i="27"/>
  <c r="J154" i="27"/>
  <c r="K154" i="27"/>
  <c r="I154" i="27"/>
  <c r="J153" i="27"/>
  <c r="K153" i="27"/>
  <c r="I153" i="27"/>
  <c r="H160" i="27"/>
  <c r="J152" i="27"/>
  <c r="K152" i="27"/>
  <c r="I152" i="27"/>
  <c r="J151" i="27"/>
  <c r="K151" i="27"/>
  <c r="I151" i="27"/>
  <c r="J150" i="27"/>
  <c r="K150" i="27"/>
  <c r="I150" i="27"/>
  <c r="J149" i="27"/>
  <c r="K149" i="27"/>
  <c r="I149" i="27"/>
  <c r="J148" i="27"/>
  <c r="K148" i="27"/>
  <c r="I148" i="27"/>
  <c r="J142" i="27"/>
  <c r="K142" i="27"/>
  <c r="I142" i="27"/>
  <c r="I74" i="28"/>
  <c r="M74" i="28"/>
  <c r="L74" i="28"/>
  <c r="K74" i="28"/>
  <c r="J74" i="28"/>
  <c r="I68" i="28"/>
  <c r="M68" i="28"/>
  <c r="J68" i="28"/>
  <c r="L68" i="28"/>
  <c r="H76" i="28"/>
  <c r="K68" i="28"/>
  <c r="K139" i="27"/>
  <c r="J139" i="27"/>
  <c r="I139" i="27"/>
  <c r="K137" i="27"/>
  <c r="J137" i="27"/>
  <c r="I137" i="27"/>
  <c r="K135" i="27"/>
  <c r="J135" i="27"/>
  <c r="I135" i="27"/>
  <c r="K130" i="27"/>
  <c r="J130" i="27"/>
  <c r="I130" i="27"/>
  <c r="K128" i="27"/>
  <c r="J128" i="27"/>
  <c r="I128" i="27"/>
  <c r="K126" i="27"/>
  <c r="J126" i="27"/>
  <c r="I126" i="27"/>
  <c r="K124" i="27"/>
  <c r="J124" i="27"/>
  <c r="I124" i="27"/>
  <c r="H132" i="27"/>
  <c r="K122" i="27"/>
  <c r="J122" i="27"/>
  <c r="I122" i="27"/>
  <c r="K120" i="27"/>
  <c r="J120" i="27"/>
  <c r="I120" i="27"/>
  <c r="K117" i="27"/>
  <c r="J117" i="27"/>
  <c r="I117" i="27"/>
  <c r="K115" i="27"/>
  <c r="J115" i="27"/>
  <c r="I115" i="27"/>
  <c r="K113" i="27"/>
  <c r="J113" i="27"/>
  <c r="I113" i="27"/>
  <c r="K111" i="27"/>
  <c r="J111" i="27"/>
  <c r="I111" i="27"/>
  <c r="K109" i="27"/>
  <c r="J109" i="27"/>
  <c r="I109" i="27"/>
  <c r="K107" i="27"/>
  <c r="J107" i="27"/>
  <c r="I107" i="27"/>
  <c r="K102" i="27"/>
  <c r="J102" i="27"/>
  <c r="I102" i="27"/>
  <c r="K100" i="27"/>
  <c r="J100" i="27"/>
  <c r="I100" i="27"/>
  <c r="K98" i="27"/>
  <c r="J98" i="27"/>
  <c r="I98" i="27"/>
  <c r="K96" i="27"/>
  <c r="J96" i="27"/>
  <c r="I96" i="27"/>
  <c r="H104" i="27"/>
  <c r="K94" i="27"/>
  <c r="J94" i="27"/>
  <c r="I94" i="27"/>
  <c r="K92" i="27"/>
  <c r="J92" i="27"/>
  <c r="I92" i="27"/>
  <c r="K89" i="27"/>
  <c r="J89" i="27"/>
  <c r="I89" i="27"/>
  <c r="K87" i="27"/>
  <c r="J87" i="27"/>
  <c r="I87" i="27"/>
  <c r="K85" i="27"/>
  <c r="J85" i="27"/>
  <c r="I85" i="27"/>
  <c r="K83" i="27"/>
  <c r="J83" i="27"/>
  <c r="I83" i="27"/>
  <c r="K81" i="27"/>
  <c r="J81" i="27"/>
  <c r="I81" i="27"/>
  <c r="K79" i="27"/>
  <c r="J79" i="27"/>
  <c r="I79" i="27"/>
  <c r="K74" i="27"/>
  <c r="J74" i="27"/>
  <c r="I74" i="27"/>
  <c r="K72" i="27"/>
  <c r="J72" i="27"/>
  <c r="I72" i="27"/>
  <c r="K70" i="27"/>
  <c r="J70" i="27"/>
  <c r="I70" i="27"/>
  <c r="K68" i="27"/>
  <c r="J68" i="27"/>
  <c r="I68" i="27"/>
  <c r="H76" i="27"/>
  <c r="K66" i="27"/>
  <c r="J66" i="27"/>
  <c r="I66" i="27"/>
  <c r="K64" i="27"/>
  <c r="J64" i="27"/>
  <c r="I64" i="27"/>
  <c r="K61" i="27"/>
  <c r="J61" i="27"/>
  <c r="I61" i="27"/>
  <c r="K59" i="27"/>
  <c r="J59" i="27"/>
  <c r="I59" i="27"/>
  <c r="K57" i="27"/>
  <c r="J57" i="27"/>
  <c r="I57" i="27"/>
  <c r="K55" i="27"/>
  <c r="J55" i="27"/>
  <c r="I55" i="27"/>
  <c r="K53" i="27"/>
  <c r="J53" i="27"/>
  <c r="I53" i="27"/>
  <c r="K51" i="27"/>
  <c r="J51" i="27"/>
  <c r="I51" i="27"/>
  <c r="K46" i="27"/>
  <c r="J46" i="27"/>
  <c r="I46" i="27"/>
  <c r="K44" i="27"/>
  <c r="J44" i="27"/>
  <c r="I44" i="27"/>
  <c r="K42" i="27"/>
  <c r="J42" i="27"/>
  <c r="I42" i="27"/>
  <c r="K40" i="27"/>
  <c r="J40" i="27"/>
  <c r="I40" i="27"/>
  <c r="H48" i="27"/>
  <c r="K38" i="27"/>
  <c r="J38" i="27"/>
  <c r="I38" i="27"/>
  <c r="K36" i="27"/>
  <c r="J36" i="27"/>
  <c r="I36" i="27"/>
  <c r="K33" i="27"/>
  <c r="J33" i="27"/>
  <c r="I33" i="27"/>
  <c r="K31" i="27"/>
  <c r="J31" i="27"/>
  <c r="I31" i="27"/>
  <c r="K29" i="27"/>
  <c r="J29" i="27"/>
  <c r="I29" i="27"/>
  <c r="K27" i="27"/>
  <c r="J27" i="27"/>
  <c r="I27" i="27"/>
  <c r="K25" i="27"/>
  <c r="J25" i="27"/>
  <c r="I25" i="27"/>
  <c r="K23" i="27"/>
  <c r="J23" i="27"/>
  <c r="I23" i="27"/>
  <c r="K18" i="27"/>
  <c r="J18" i="27"/>
  <c r="I18" i="27"/>
  <c r="K150" i="26"/>
  <c r="J150" i="26"/>
  <c r="I150" i="26"/>
  <c r="K148" i="26"/>
  <c r="J148" i="26"/>
  <c r="I148" i="26"/>
  <c r="K145" i="26"/>
  <c r="J145" i="26"/>
  <c r="I145" i="26"/>
  <c r="K143" i="26"/>
  <c r="J143" i="26"/>
  <c r="I143" i="26"/>
  <c r="K141" i="26"/>
  <c r="J141" i="26"/>
  <c r="I141" i="26"/>
  <c r="K139" i="26"/>
  <c r="J139" i="26"/>
  <c r="I139" i="26"/>
  <c r="K137" i="26"/>
  <c r="J137" i="26"/>
  <c r="I137" i="26"/>
  <c r="K135" i="26"/>
  <c r="J135" i="26"/>
  <c r="I135" i="26"/>
  <c r="K130" i="26"/>
  <c r="J130" i="26"/>
  <c r="I130" i="26"/>
  <c r="K128" i="26"/>
  <c r="J128" i="26"/>
  <c r="I128" i="26"/>
  <c r="K126" i="26"/>
  <c r="J126" i="26"/>
  <c r="I126" i="26"/>
  <c r="K124" i="26"/>
  <c r="J124" i="26"/>
  <c r="I124" i="26"/>
  <c r="H132" i="26"/>
  <c r="K122" i="26"/>
  <c r="J122" i="26"/>
  <c r="I122" i="26"/>
  <c r="K120" i="26"/>
  <c r="J120" i="26"/>
  <c r="I120" i="26"/>
  <c r="K117" i="26"/>
  <c r="J117" i="26"/>
  <c r="I117" i="26"/>
  <c r="K115" i="26"/>
  <c r="J115" i="26"/>
  <c r="I115" i="26"/>
  <c r="K113" i="26"/>
  <c r="J113" i="26"/>
  <c r="I113" i="26"/>
  <c r="K111" i="26"/>
  <c r="J111" i="26"/>
  <c r="I111" i="26"/>
  <c r="K109" i="26"/>
  <c r="J109" i="26"/>
  <c r="I109" i="26"/>
  <c r="K156" i="26"/>
  <c r="J156" i="26"/>
  <c r="I156" i="26"/>
  <c r="K152" i="26"/>
  <c r="J152" i="26"/>
  <c r="I152" i="26"/>
  <c r="H160" i="26"/>
  <c r="K107" i="26"/>
  <c r="J107" i="26"/>
  <c r="I107" i="26"/>
  <c r="K102" i="26"/>
  <c r="J102" i="26"/>
  <c r="I102" i="26"/>
  <c r="K98" i="26"/>
  <c r="J98" i="26"/>
  <c r="I98" i="26"/>
  <c r="K94" i="26"/>
  <c r="J94" i="26"/>
  <c r="I94" i="26"/>
  <c r="K89" i="26"/>
  <c r="J89" i="26"/>
  <c r="I89" i="26"/>
  <c r="K84" i="26"/>
  <c r="J84" i="26"/>
  <c r="I84" i="26"/>
  <c r="H90" i="26"/>
  <c r="K82" i="26"/>
  <c r="J82" i="26"/>
  <c r="I82" i="26"/>
  <c r="K80" i="26"/>
  <c r="J80" i="26"/>
  <c r="I80" i="26"/>
  <c r="K78" i="26"/>
  <c r="J78" i="26"/>
  <c r="I78" i="26"/>
  <c r="K75" i="26"/>
  <c r="J75" i="26"/>
  <c r="I75" i="26"/>
  <c r="K73" i="26"/>
  <c r="J73" i="26"/>
  <c r="I73" i="26"/>
  <c r="K71" i="26"/>
  <c r="J71" i="26"/>
  <c r="I71" i="26"/>
  <c r="K69" i="26"/>
  <c r="J69" i="26"/>
  <c r="I69" i="26"/>
  <c r="K67" i="26"/>
  <c r="J67" i="26"/>
  <c r="I67" i="26"/>
  <c r="K65" i="26"/>
  <c r="J65" i="26"/>
  <c r="I65" i="26"/>
  <c r="K60" i="26"/>
  <c r="J60" i="26"/>
  <c r="I60" i="26"/>
  <c r="K58" i="26"/>
  <c r="J58" i="26"/>
  <c r="I58" i="26"/>
  <c r="K56" i="26"/>
  <c r="J56" i="26"/>
  <c r="I56" i="26"/>
  <c r="K54" i="26"/>
  <c r="J54" i="26"/>
  <c r="I54" i="26"/>
  <c r="H62" i="26"/>
  <c r="K52" i="26"/>
  <c r="J52" i="26"/>
  <c r="I52" i="26"/>
  <c r="K50" i="26"/>
  <c r="J50" i="26"/>
  <c r="I50" i="26"/>
  <c r="K47" i="26"/>
  <c r="J47" i="26"/>
  <c r="I47" i="26"/>
  <c r="K45" i="26"/>
  <c r="J45" i="26"/>
  <c r="I45" i="26"/>
  <c r="K43" i="26"/>
  <c r="J43" i="26"/>
  <c r="I43" i="26"/>
  <c r="K41" i="26"/>
  <c r="J41" i="26"/>
  <c r="I41" i="26"/>
  <c r="K39" i="26"/>
  <c r="J39" i="26"/>
  <c r="I39" i="26"/>
  <c r="K37" i="26"/>
  <c r="J37" i="26"/>
  <c r="I37" i="26"/>
  <c r="K32" i="26"/>
  <c r="J32" i="26"/>
  <c r="I32" i="26"/>
  <c r="K30" i="26"/>
  <c r="J30" i="26"/>
  <c r="I30" i="26"/>
  <c r="K28" i="26"/>
  <c r="J28" i="26"/>
  <c r="I28" i="26"/>
  <c r="K26" i="26"/>
  <c r="J26" i="26"/>
  <c r="I26" i="26"/>
  <c r="H34" i="26"/>
  <c r="K24" i="26"/>
  <c r="J24" i="26"/>
  <c r="I24" i="26"/>
  <c r="K22" i="26"/>
  <c r="J22" i="26"/>
  <c r="I22" i="26"/>
  <c r="K19" i="26"/>
  <c r="J19" i="26"/>
  <c r="I19" i="26"/>
  <c r="K17" i="26"/>
  <c r="J17" i="26"/>
  <c r="I17" i="26"/>
  <c r="K15" i="26"/>
  <c r="J15" i="26"/>
  <c r="I15" i="26"/>
  <c r="J13" i="26"/>
  <c r="I13" i="26"/>
  <c r="K13" i="26"/>
  <c r="J11" i="26"/>
  <c r="I11" i="26"/>
  <c r="K11" i="26"/>
  <c r="J9" i="26"/>
  <c r="I9" i="26"/>
  <c r="K9" i="26"/>
  <c r="J88" i="26"/>
  <c r="I88" i="26"/>
  <c r="K88" i="26"/>
  <c r="J93" i="26"/>
  <c r="I93" i="26"/>
  <c r="K93" i="26"/>
  <c r="J95" i="26"/>
  <c r="K95" i="26"/>
  <c r="I95" i="26"/>
  <c r="J97" i="26"/>
  <c r="I97" i="26"/>
  <c r="K97" i="26"/>
  <c r="J99" i="26"/>
  <c r="K99" i="26"/>
  <c r="I99" i="26"/>
  <c r="J101" i="26"/>
  <c r="I101" i="26"/>
  <c r="K101" i="26"/>
  <c r="J103" i="26"/>
  <c r="K103" i="26"/>
  <c r="I103" i="26"/>
  <c r="J106" i="26"/>
  <c r="I106" i="26"/>
  <c r="K106" i="26"/>
  <c r="J108" i="26"/>
  <c r="K108" i="26"/>
  <c r="I108" i="26"/>
  <c r="J110" i="26"/>
  <c r="H118" i="26"/>
  <c r="K110" i="26"/>
  <c r="I110" i="26"/>
  <c r="J112" i="26"/>
  <c r="K112" i="26"/>
  <c r="I112" i="26"/>
  <c r="J114" i="26"/>
  <c r="K114" i="26"/>
  <c r="I114" i="26"/>
  <c r="J116" i="26"/>
  <c r="K116" i="26"/>
  <c r="I116" i="26"/>
  <c r="J121" i="26"/>
  <c r="K121" i="26"/>
  <c r="I121" i="26"/>
  <c r="J123" i="26"/>
  <c r="K123" i="26"/>
  <c r="I123" i="26"/>
  <c r="J125" i="26"/>
  <c r="K125" i="26"/>
  <c r="I125" i="26"/>
  <c r="J127" i="26"/>
  <c r="K127" i="26"/>
  <c r="I127" i="26"/>
  <c r="J129" i="26"/>
  <c r="K129" i="26"/>
  <c r="I129" i="26"/>
  <c r="J131" i="26"/>
  <c r="K131" i="26"/>
  <c r="I131" i="26"/>
  <c r="J134" i="26"/>
  <c r="K134" i="26"/>
  <c r="I134" i="26"/>
  <c r="J136" i="26"/>
  <c r="K136" i="26"/>
  <c r="I136" i="26"/>
  <c r="J138" i="26"/>
  <c r="H146" i="26"/>
  <c r="K138" i="26"/>
  <c r="I138" i="26"/>
  <c r="J140" i="26"/>
  <c r="K140" i="26"/>
  <c r="I140" i="26"/>
  <c r="J142" i="26"/>
  <c r="K142" i="26"/>
  <c r="I142" i="26"/>
  <c r="J144" i="26"/>
  <c r="K144" i="26"/>
  <c r="I144" i="26"/>
  <c r="J149" i="26"/>
  <c r="K149" i="26"/>
  <c r="I149" i="26"/>
  <c r="J151" i="26"/>
  <c r="I151" i="26"/>
  <c r="K151" i="26"/>
  <c r="J153" i="26"/>
  <c r="I153" i="26"/>
  <c r="K153" i="26"/>
  <c r="J155" i="26"/>
  <c r="I155" i="26"/>
  <c r="K155" i="26"/>
  <c r="J157" i="26"/>
  <c r="I157" i="26"/>
  <c r="K157" i="26"/>
  <c r="J159" i="26"/>
  <c r="I159" i="26"/>
  <c r="K159" i="26"/>
  <c r="N106" i="25"/>
  <c r="N105" i="25"/>
  <c r="N104" i="25"/>
  <c r="N103" i="25"/>
  <c r="N102" i="25"/>
  <c r="N101" i="25"/>
  <c r="N100" i="25"/>
  <c r="N99" i="25"/>
  <c r="N98" i="25"/>
  <c r="N97" i="25"/>
  <c r="N62" i="25"/>
  <c r="N61" i="25"/>
  <c r="N60" i="25"/>
  <c r="N59" i="25"/>
  <c r="N58" i="25"/>
  <c r="N57" i="25"/>
  <c r="N56" i="25"/>
  <c r="N55" i="25"/>
  <c r="N54" i="25"/>
  <c r="N53" i="25"/>
  <c r="N30" i="25"/>
  <c r="N38" i="25"/>
  <c r="N35" i="25"/>
  <c r="N32" i="25"/>
  <c r="N39" i="25"/>
  <c r="N36" i="25"/>
  <c r="N33" i="25"/>
  <c r="N82" i="25"/>
  <c r="N79" i="25"/>
  <c r="N76" i="25"/>
  <c r="N40" i="25"/>
  <c r="N37" i="25"/>
  <c r="N34" i="25"/>
  <c r="N31" i="25"/>
  <c r="N83" i="25"/>
  <c r="N80" i="25"/>
  <c r="N77" i="25"/>
  <c r="N81" i="25"/>
  <c r="N78" i="25"/>
  <c r="N84" i="25"/>
  <c r="N75" i="25"/>
  <c r="K95" i="25"/>
  <c r="N96" i="25" s="1"/>
  <c r="K51" i="25"/>
  <c r="L8" i="25"/>
  <c r="I7" i="25"/>
  <c r="K29" i="25"/>
  <c r="N8" i="25"/>
  <c r="K73" i="25"/>
  <c r="N60" i="24"/>
  <c r="N57" i="24"/>
  <c r="N54" i="24"/>
  <c r="N62" i="24"/>
  <c r="N59" i="24"/>
  <c r="N56" i="24"/>
  <c r="N53" i="24"/>
  <c r="N55" i="24"/>
  <c r="N61" i="24"/>
  <c r="N58" i="24"/>
  <c r="L159" i="22"/>
  <c r="J159" i="22"/>
  <c r="K159" i="22"/>
  <c r="L156" i="22"/>
  <c r="K156" i="22"/>
  <c r="J156" i="22"/>
  <c r="I161" i="22"/>
  <c r="L153" i="22"/>
  <c r="K153" i="22"/>
  <c r="J153" i="22"/>
  <c r="L150" i="22"/>
  <c r="J150" i="22"/>
  <c r="K150" i="22"/>
  <c r="L146" i="22"/>
  <c r="K146" i="22"/>
  <c r="J146" i="22"/>
  <c r="L143" i="22"/>
  <c r="K143" i="22"/>
  <c r="J143" i="22"/>
  <c r="L140" i="22"/>
  <c r="J140" i="22"/>
  <c r="K140" i="22"/>
  <c r="L137" i="22"/>
  <c r="K137" i="22"/>
  <c r="J137" i="22"/>
  <c r="L130" i="22"/>
  <c r="J130" i="22"/>
  <c r="K130" i="22"/>
  <c r="L127" i="22"/>
  <c r="K127" i="22"/>
  <c r="J127" i="22"/>
  <c r="L124" i="22"/>
  <c r="K124" i="22"/>
  <c r="J124" i="22"/>
  <c r="L121" i="22"/>
  <c r="J121" i="22"/>
  <c r="K121" i="22"/>
  <c r="L117" i="22"/>
  <c r="K117" i="22"/>
  <c r="J117" i="22"/>
  <c r="L114" i="22"/>
  <c r="K114" i="22"/>
  <c r="J114" i="22"/>
  <c r="L111" i="22"/>
  <c r="J111" i="22"/>
  <c r="I119" i="22"/>
  <c r="K111" i="22"/>
  <c r="L108" i="22"/>
  <c r="K108" i="22"/>
  <c r="J108" i="22"/>
  <c r="L104" i="22"/>
  <c r="K104" i="22"/>
  <c r="J104" i="22"/>
  <c r="L101" i="22"/>
  <c r="J101" i="22"/>
  <c r="K101" i="22"/>
  <c r="L98" i="22"/>
  <c r="K98" i="22"/>
  <c r="J98" i="22"/>
  <c r="L95" i="22"/>
  <c r="K95" i="22"/>
  <c r="J95" i="22"/>
  <c r="L88" i="22"/>
  <c r="K88" i="22"/>
  <c r="J88" i="22"/>
  <c r="L85" i="22"/>
  <c r="K85" i="22"/>
  <c r="J85" i="22"/>
  <c r="L82" i="22"/>
  <c r="J82" i="22"/>
  <c r="K82" i="22"/>
  <c r="L85" i="24"/>
  <c r="L84" i="24"/>
  <c r="L83" i="24"/>
  <c r="L82" i="24"/>
  <c r="L81" i="24"/>
  <c r="L80" i="24"/>
  <c r="L79" i="24"/>
  <c r="L78" i="24"/>
  <c r="L77" i="24"/>
  <c r="L76" i="24"/>
  <c r="L75" i="24"/>
  <c r="L86" i="24"/>
  <c r="I253" i="24"/>
  <c r="I205" i="24"/>
  <c r="I139" i="24"/>
  <c r="I161" i="24"/>
  <c r="I95" i="24"/>
  <c r="I51" i="24"/>
  <c r="I227" i="24"/>
  <c r="I183" i="24"/>
  <c r="I117" i="24"/>
  <c r="G7" i="24"/>
  <c r="J8" i="24" s="1"/>
  <c r="I73" i="24"/>
  <c r="I29" i="24"/>
  <c r="J19" i="22"/>
  <c r="L19" i="22"/>
  <c r="K19" i="22"/>
  <c r="J13" i="22"/>
  <c r="K13" i="22"/>
  <c r="L13" i="22"/>
  <c r="I21" i="22"/>
  <c r="H155" i="21"/>
  <c r="I155" i="21"/>
  <c r="H142" i="21"/>
  <c r="I142" i="21"/>
  <c r="H136" i="21"/>
  <c r="I136" i="21"/>
  <c r="H129" i="21"/>
  <c r="I129" i="21"/>
  <c r="I123" i="21"/>
  <c r="H123" i="21"/>
  <c r="H116" i="21"/>
  <c r="I116" i="21"/>
  <c r="I110" i="21"/>
  <c r="H110" i="21"/>
  <c r="H103" i="21"/>
  <c r="I103" i="21"/>
  <c r="I97" i="21"/>
  <c r="H97" i="21"/>
  <c r="H90" i="21"/>
  <c r="I90" i="21"/>
  <c r="I84" i="21"/>
  <c r="H84" i="21"/>
  <c r="G92" i="21"/>
  <c r="H77" i="21"/>
  <c r="I77" i="21"/>
  <c r="I71" i="21"/>
  <c r="H71" i="21"/>
  <c r="I58" i="21"/>
  <c r="H58" i="21"/>
  <c r="H52" i="21"/>
  <c r="I52" i="21"/>
  <c r="I45" i="21"/>
  <c r="H45" i="21"/>
  <c r="H39" i="21"/>
  <c r="I39" i="21"/>
  <c r="I32" i="21"/>
  <c r="H32" i="21"/>
  <c r="H26" i="21"/>
  <c r="I26" i="21"/>
  <c r="I21" i="21"/>
  <c r="H21" i="21"/>
  <c r="H18" i="21"/>
  <c r="I18" i="21"/>
  <c r="I15" i="21"/>
  <c r="H15" i="21"/>
  <c r="H12" i="21"/>
  <c r="I12" i="21"/>
  <c r="K154" i="22"/>
  <c r="J154" i="22"/>
  <c r="L154" i="22"/>
  <c r="K151" i="22"/>
  <c r="J151" i="22"/>
  <c r="L151" i="22"/>
  <c r="K144" i="22"/>
  <c r="J144" i="22"/>
  <c r="L144" i="22"/>
  <c r="K141" i="22"/>
  <c r="J141" i="22"/>
  <c r="L141" i="22"/>
  <c r="K138" i="22"/>
  <c r="J138" i="22"/>
  <c r="L138" i="22"/>
  <c r="K135" i="22"/>
  <c r="J135" i="22"/>
  <c r="L135" i="22"/>
  <c r="K131" i="22"/>
  <c r="J131" i="22"/>
  <c r="L131" i="22"/>
  <c r="K128" i="22"/>
  <c r="J128" i="22"/>
  <c r="L128" i="22"/>
  <c r="I133" i="22"/>
  <c r="K125" i="22"/>
  <c r="J125" i="22"/>
  <c r="L125" i="22"/>
  <c r="K122" i="22"/>
  <c r="J122" i="22"/>
  <c r="L122" i="22"/>
  <c r="K118" i="22"/>
  <c r="J118" i="22"/>
  <c r="L118" i="22"/>
  <c r="K115" i="22"/>
  <c r="J115" i="22"/>
  <c r="L115" i="22"/>
  <c r="K112" i="22"/>
  <c r="J112" i="22"/>
  <c r="L112" i="22"/>
  <c r="K109" i="22"/>
  <c r="J109" i="22"/>
  <c r="L109" i="22"/>
  <c r="K102" i="22"/>
  <c r="J102" i="22"/>
  <c r="L102" i="22"/>
  <c r="K99" i="22"/>
  <c r="J99" i="22"/>
  <c r="L99" i="22"/>
  <c r="K96" i="22"/>
  <c r="J96" i="22"/>
  <c r="L96" i="22"/>
  <c r="K93" i="22"/>
  <c r="J93" i="22"/>
  <c r="L93" i="22"/>
  <c r="K89" i="22"/>
  <c r="J89" i="22"/>
  <c r="L89" i="22"/>
  <c r="K86" i="22"/>
  <c r="J86" i="22"/>
  <c r="L86" i="22"/>
  <c r="I91" i="22"/>
  <c r="K83" i="22"/>
  <c r="J83" i="22"/>
  <c r="L83" i="22"/>
  <c r="K80" i="22"/>
  <c r="J80" i="22"/>
  <c r="L80" i="22"/>
  <c r="K76" i="22"/>
  <c r="J76" i="22"/>
  <c r="L76" i="22"/>
  <c r="K73" i="22"/>
  <c r="J73" i="22"/>
  <c r="L73" i="22"/>
  <c r="K70" i="22"/>
  <c r="J70" i="22"/>
  <c r="L70" i="22"/>
  <c r="K67" i="22"/>
  <c r="J67" i="22"/>
  <c r="L67" i="22"/>
  <c r="K60" i="22"/>
  <c r="J60" i="22"/>
  <c r="L60" i="22"/>
  <c r="K57" i="22"/>
  <c r="J57" i="22"/>
  <c r="L57" i="22"/>
  <c r="K54" i="22"/>
  <c r="J54" i="22"/>
  <c r="L54" i="22"/>
  <c r="K51" i="22"/>
  <c r="J51" i="22"/>
  <c r="L51" i="22"/>
  <c r="K47" i="22"/>
  <c r="J47" i="22"/>
  <c r="L47" i="22"/>
  <c r="K44" i="22"/>
  <c r="J44" i="22"/>
  <c r="L44" i="22"/>
  <c r="I49" i="22"/>
  <c r="K41" i="22"/>
  <c r="J41" i="22"/>
  <c r="L41" i="22"/>
  <c r="K38" i="22"/>
  <c r="J38" i="22"/>
  <c r="L38" i="22"/>
  <c r="K34" i="22"/>
  <c r="J34" i="22"/>
  <c r="L34" i="22"/>
  <c r="K31" i="22"/>
  <c r="J31" i="22"/>
  <c r="L31" i="22"/>
  <c r="K28" i="22"/>
  <c r="J28" i="22"/>
  <c r="L28" i="22"/>
  <c r="K25" i="22"/>
  <c r="J25" i="22"/>
  <c r="L25" i="22"/>
  <c r="K18" i="22"/>
  <c r="J18" i="22"/>
  <c r="L18" i="22"/>
  <c r="K12" i="22"/>
  <c r="J12" i="22"/>
  <c r="L12" i="22"/>
  <c r="I160" i="21"/>
  <c r="H160" i="21"/>
  <c r="G162" i="21"/>
  <c r="I154" i="21"/>
  <c r="H154" i="21"/>
  <c r="I147" i="21"/>
  <c r="H147" i="21"/>
  <c r="I141" i="21"/>
  <c r="H141" i="21"/>
  <c r="H128" i="21"/>
  <c r="I128" i="21"/>
  <c r="H122" i="21"/>
  <c r="I122" i="21"/>
  <c r="H115" i="21"/>
  <c r="I115" i="21"/>
  <c r="H109" i="21"/>
  <c r="I109" i="21"/>
  <c r="H102" i="21"/>
  <c r="I102" i="21"/>
  <c r="H96" i="21"/>
  <c r="I96" i="21"/>
  <c r="H89" i="21"/>
  <c r="I89" i="21"/>
  <c r="H83" i="21"/>
  <c r="I83" i="21"/>
  <c r="H76" i="21"/>
  <c r="I76" i="21"/>
  <c r="H70" i="21"/>
  <c r="I70" i="21"/>
  <c r="G78" i="21"/>
  <c r="H63" i="21"/>
  <c r="I63" i="21"/>
  <c r="H57" i="21"/>
  <c r="I57" i="21"/>
  <c r="H44" i="21"/>
  <c r="I44" i="21"/>
  <c r="H38" i="21"/>
  <c r="I38" i="21"/>
  <c r="H31" i="21"/>
  <c r="I31" i="21"/>
  <c r="H25" i="21"/>
  <c r="I25" i="21"/>
  <c r="Q17" i="21"/>
  <c r="R17" i="21"/>
  <c r="Q14" i="21"/>
  <c r="R14" i="21"/>
  <c r="P22" i="21"/>
  <c r="Q11" i="21"/>
  <c r="R11" i="21"/>
  <c r="L17" i="22"/>
  <c r="K17" i="22"/>
  <c r="J17" i="22"/>
  <c r="L11" i="22"/>
  <c r="K11" i="22"/>
  <c r="J11" i="22"/>
  <c r="I159" i="21"/>
  <c r="H159" i="21"/>
  <c r="I153" i="21"/>
  <c r="H153" i="21"/>
  <c r="I146" i="21"/>
  <c r="H146" i="21"/>
  <c r="G148" i="21"/>
  <c r="I140" i="21"/>
  <c r="H140" i="21"/>
  <c r="I133" i="21"/>
  <c r="H133" i="21"/>
  <c r="I127" i="21"/>
  <c r="H127" i="21"/>
  <c r="I114" i="21"/>
  <c r="H114" i="21"/>
  <c r="I108" i="21"/>
  <c r="H108" i="21"/>
  <c r="I101" i="21"/>
  <c r="H101" i="21"/>
  <c r="I95" i="21"/>
  <c r="H95" i="21"/>
  <c r="I88" i="21"/>
  <c r="H88" i="21"/>
  <c r="I82" i="21"/>
  <c r="H82" i="21"/>
  <c r="I75" i="21"/>
  <c r="H75" i="21"/>
  <c r="I69" i="21"/>
  <c r="H69" i="21"/>
  <c r="I62" i="21"/>
  <c r="H62" i="21"/>
  <c r="G64" i="21"/>
  <c r="I56" i="21"/>
  <c r="H56" i="21"/>
  <c r="I49" i="21"/>
  <c r="H49" i="21"/>
  <c r="I43" i="21"/>
  <c r="H43" i="21"/>
  <c r="I30" i="21"/>
  <c r="H30" i="21"/>
  <c r="I24" i="21"/>
  <c r="H24" i="21"/>
  <c r="I20" i="21"/>
  <c r="H20" i="21"/>
  <c r="I17" i="21"/>
  <c r="H17" i="21"/>
  <c r="I14" i="21"/>
  <c r="H14" i="21"/>
  <c r="G22" i="21"/>
  <c r="I11" i="21"/>
  <c r="H11" i="21"/>
  <c r="X14" i="22"/>
  <c r="W14" i="22"/>
  <c r="V14" i="22"/>
  <c r="X20" i="22"/>
  <c r="W20" i="22"/>
  <c r="V20" i="22"/>
  <c r="W9" i="22"/>
  <c r="V9" i="22"/>
  <c r="X9" i="22"/>
  <c r="W15" i="22"/>
  <c r="V15" i="22"/>
  <c r="X15" i="22"/>
  <c r="V10" i="22"/>
  <c r="X10" i="22"/>
  <c r="W10" i="22"/>
  <c r="V16" i="22"/>
  <c r="X16" i="22"/>
  <c r="W16" i="22"/>
  <c r="X11" i="22"/>
  <c r="W11" i="22"/>
  <c r="V11" i="22"/>
  <c r="X17" i="22"/>
  <c r="W17" i="22"/>
  <c r="V17" i="22"/>
  <c r="Q20" i="21"/>
  <c r="R20" i="21"/>
  <c r="X13" i="22"/>
  <c r="U21" i="22"/>
  <c r="W13" i="22"/>
  <c r="V13" i="22"/>
  <c r="X18" i="19"/>
  <c r="Y18" i="19"/>
  <c r="R12" i="21"/>
  <c r="Q12" i="21"/>
  <c r="R18" i="21"/>
  <c r="Q18" i="21"/>
  <c r="R13" i="21"/>
  <c r="Q13" i="21"/>
  <c r="R19" i="21"/>
  <c r="Q19" i="21"/>
  <c r="Q15" i="21"/>
  <c r="R15" i="21"/>
  <c r="R21" i="21"/>
  <c r="Q21" i="21"/>
  <c r="Y159" i="19"/>
  <c r="X159" i="19"/>
  <c r="Y156" i="19"/>
  <c r="X156" i="19"/>
  <c r="Y153" i="19"/>
  <c r="X153" i="19"/>
  <c r="W161" i="19"/>
  <c r="Y150" i="19"/>
  <c r="X150" i="19"/>
  <c r="W149" i="19"/>
  <c r="Y146" i="19"/>
  <c r="X146" i="19"/>
  <c r="Y143" i="19"/>
  <c r="X143" i="19"/>
  <c r="Y140" i="19"/>
  <c r="X140" i="19"/>
  <c r="Y137" i="19"/>
  <c r="X137" i="19"/>
  <c r="Y130" i="19"/>
  <c r="X130" i="19"/>
  <c r="X14" i="19"/>
  <c r="Y14" i="19"/>
  <c r="W21" i="19"/>
  <c r="X13" i="19"/>
  <c r="Y13" i="19"/>
  <c r="X12" i="19"/>
  <c r="Y12" i="19"/>
  <c r="X11" i="19"/>
  <c r="Y11" i="19"/>
  <c r="X10" i="19"/>
  <c r="W9" i="19"/>
  <c r="Y10" i="19"/>
  <c r="Y129" i="19"/>
  <c r="X129" i="19"/>
  <c r="X19" i="19"/>
  <c r="Y19" i="19"/>
  <c r="X20" i="19"/>
  <c r="Y20" i="19"/>
  <c r="X24" i="19"/>
  <c r="W23" i="19"/>
  <c r="Y24" i="19"/>
  <c r="X25" i="19"/>
  <c r="Y25" i="19"/>
  <c r="X26" i="19"/>
  <c r="Y26" i="19"/>
  <c r="X27" i="19"/>
  <c r="W35" i="19"/>
  <c r="Y27" i="19"/>
  <c r="X28" i="19"/>
  <c r="Y28" i="19"/>
  <c r="X29" i="19"/>
  <c r="Y29" i="19"/>
  <c r="X30" i="19"/>
  <c r="Y30" i="19"/>
  <c r="X31" i="19"/>
  <c r="Y31" i="19"/>
  <c r="X32" i="19"/>
  <c r="Y32" i="19"/>
  <c r="X33" i="19"/>
  <c r="Y33" i="19"/>
  <c r="X34" i="19"/>
  <c r="Y34" i="19"/>
  <c r="X38" i="19"/>
  <c r="W37" i="19"/>
  <c r="Y38" i="19"/>
  <c r="X39" i="19"/>
  <c r="Y39" i="19"/>
  <c r="X40" i="19"/>
  <c r="Y40" i="19"/>
  <c r="X41" i="19"/>
  <c r="W49" i="19"/>
  <c r="Y41" i="19"/>
  <c r="X42" i="19"/>
  <c r="Y42" i="19"/>
  <c r="X43" i="19"/>
  <c r="Y43" i="19"/>
  <c r="X44" i="19"/>
  <c r="Y44" i="19"/>
  <c r="X45" i="19"/>
  <c r="Y45" i="19"/>
  <c r="X46" i="19"/>
  <c r="Y46" i="19"/>
  <c r="X47" i="19"/>
  <c r="Y47" i="19"/>
  <c r="X48" i="19"/>
  <c r="Y48" i="19"/>
  <c r="X52" i="19"/>
  <c r="W51" i="19"/>
  <c r="Y52" i="19"/>
  <c r="X53" i="19"/>
  <c r="Y53" i="19"/>
  <c r="X54" i="19"/>
  <c r="Y54" i="19"/>
  <c r="X55" i="19"/>
  <c r="W63" i="19"/>
  <c r="Y55" i="19"/>
  <c r="X56" i="19"/>
  <c r="Y56" i="19"/>
  <c r="X57" i="19"/>
  <c r="Y57" i="19"/>
  <c r="X58" i="19"/>
  <c r="Y58" i="19"/>
  <c r="X59" i="19"/>
  <c r="Y59" i="19"/>
  <c r="X60" i="19"/>
  <c r="Y60" i="19"/>
  <c r="X61" i="19"/>
  <c r="Y61" i="19"/>
  <c r="X62" i="19"/>
  <c r="Y62" i="19"/>
  <c r="X66" i="19"/>
  <c r="W65" i="19"/>
  <c r="Y66" i="19"/>
  <c r="X67" i="19"/>
  <c r="Y67" i="19"/>
  <c r="X68" i="19"/>
  <c r="Y68" i="19"/>
  <c r="X69" i="19"/>
  <c r="W77" i="19"/>
  <c r="Y69" i="19"/>
  <c r="X70" i="19"/>
  <c r="Y70" i="19"/>
  <c r="X71" i="19"/>
  <c r="Y71" i="19"/>
  <c r="X72" i="19"/>
  <c r="Y72" i="19"/>
  <c r="X73" i="19"/>
  <c r="Y73" i="19"/>
  <c r="X74" i="19"/>
  <c r="Y74" i="19"/>
  <c r="X75" i="19"/>
  <c r="Y75" i="19"/>
  <c r="X76" i="19"/>
  <c r="Y76" i="19"/>
  <c r="X80" i="19"/>
  <c r="W79" i="19"/>
  <c r="Y80" i="19"/>
  <c r="X81" i="19"/>
  <c r="Y81" i="19"/>
  <c r="X82" i="19"/>
  <c r="Y82" i="19"/>
  <c r="X83" i="19"/>
  <c r="W91" i="19"/>
  <c r="Y83" i="19"/>
  <c r="X84" i="19"/>
  <c r="Y84" i="19"/>
  <c r="X85" i="19"/>
  <c r="Y85" i="19"/>
  <c r="X86" i="19"/>
  <c r="Y86" i="19"/>
  <c r="X87" i="19"/>
  <c r="Y87" i="19"/>
  <c r="X88" i="19"/>
  <c r="Y88" i="19"/>
  <c r="X89" i="19"/>
  <c r="Y89" i="19"/>
  <c r="X90" i="19"/>
  <c r="Y90" i="19"/>
  <c r="X94" i="19"/>
  <c r="W93" i="19"/>
  <c r="Y94" i="19"/>
  <c r="X95" i="19"/>
  <c r="Y95" i="19"/>
  <c r="X96" i="19"/>
  <c r="Y96" i="19"/>
  <c r="X97" i="19"/>
  <c r="W105" i="19"/>
  <c r="Y97" i="19"/>
  <c r="X98" i="19"/>
  <c r="Y98" i="19"/>
  <c r="X99" i="19"/>
  <c r="Y99" i="19"/>
  <c r="X100" i="19"/>
  <c r="Y100" i="19"/>
  <c r="X101" i="19"/>
  <c r="Y101" i="19"/>
  <c r="X102" i="19"/>
  <c r="Y102" i="19"/>
  <c r="X103" i="19"/>
  <c r="Y103" i="19"/>
  <c r="X104" i="19"/>
  <c r="Y104" i="19"/>
  <c r="X108" i="19"/>
  <c r="W107" i="19"/>
  <c r="Y108" i="19"/>
  <c r="X109" i="19"/>
  <c r="Y109" i="19"/>
  <c r="X110" i="19"/>
  <c r="Y110" i="19"/>
  <c r="X111" i="19"/>
  <c r="W119" i="19"/>
  <c r="Y111" i="19"/>
  <c r="X112" i="19"/>
  <c r="Y112" i="19"/>
  <c r="X113" i="19"/>
  <c r="Y113" i="19"/>
  <c r="X114" i="19"/>
  <c r="Y114" i="19"/>
  <c r="X115" i="19"/>
  <c r="Y115" i="19"/>
  <c r="X116" i="19"/>
  <c r="Y116" i="19"/>
  <c r="X117" i="19"/>
  <c r="Y117" i="19"/>
  <c r="X118" i="19"/>
  <c r="Y118" i="19"/>
  <c r="X122" i="19"/>
  <c r="W121" i="19"/>
  <c r="Y122" i="19"/>
  <c r="X123" i="19"/>
  <c r="Y123" i="19"/>
  <c r="X124" i="19"/>
  <c r="Y124" i="19"/>
  <c r="X125" i="19"/>
  <c r="W133" i="19"/>
  <c r="Y125" i="19"/>
  <c r="X126" i="19"/>
  <c r="Y126" i="19"/>
  <c r="X127" i="19"/>
  <c r="Y127" i="19"/>
  <c r="X128" i="19"/>
  <c r="Y128" i="19"/>
  <c r="Y160" i="19"/>
  <c r="X160" i="19"/>
  <c r="Y157" i="19"/>
  <c r="X157" i="19"/>
  <c r="Y154" i="19"/>
  <c r="X154" i="19"/>
  <c r="Y151" i="19"/>
  <c r="X151" i="19"/>
  <c r="Y144" i="19"/>
  <c r="X144" i="19"/>
  <c r="Y141" i="19"/>
  <c r="X141" i="19"/>
  <c r="Y138" i="19"/>
  <c r="X138" i="19"/>
  <c r="Y131" i="19"/>
  <c r="X131" i="19"/>
  <c r="Q14" i="19"/>
  <c r="P14" i="19"/>
  <c r="O21" i="19"/>
  <c r="Q13" i="19"/>
  <c r="P13" i="19"/>
  <c r="R12" i="19"/>
  <c r="Q12" i="19"/>
  <c r="P12" i="19"/>
  <c r="Q11" i="19"/>
  <c r="P11" i="19"/>
  <c r="R10" i="19"/>
  <c r="Q10" i="19"/>
  <c r="P10" i="19"/>
  <c r="O9" i="19"/>
  <c r="R14" i="19" s="1"/>
  <c r="R15" i="19"/>
  <c r="P15" i="19"/>
  <c r="Q15" i="19"/>
  <c r="R16" i="19"/>
  <c r="P16" i="19"/>
  <c r="Q16" i="19"/>
  <c r="R17" i="19"/>
  <c r="P17" i="19"/>
  <c r="Q17" i="19"/>
  <c r="R18" i="19"/>
  <c r="P18" i="19"/>
  <c r="Q18" i="19"/>
  <c r="R19" i="19"/>
  <c r="P19" i="19"/>
  <c r="Q19" i="19"/>
  <c r="R20" i="19"/>
  <c r="Q20" i="19"/>
  <c r="P20" i="19"/>
  <c r="R24" i="19"/>
  <c r="Q24" i="19"/>
  <c r="P24" i="19"/>
  <c r="O23" i="19"/>
  <c r="R25" i="19"/>
  <c r="Q25" i="19"/>
  <c r="P25" i="19"/>
  <c r="R26" i="19"/>
  <c r="Q26" i="19"/>
  <c r="P26" i="19"/>
  <c r="R27" i="19"/>
  <c r="Q27" i="19"/>
  <c r="P27" i="19"/>
  <c r="O35" i="19"/>
  <c r="R28" i="19"/>
  <c r="Q28" i="19"/>
  <c r="P28" i="19"/>
  <c r="R29" i="19"/>
  <c r="Q29" i="19"/>
  <c r="P29" i="19"/>
  <c r="R30" i="19"/>
  <c r="Q30" i="19"/>
  <c r="P30" i="19"/>
  <c r="R31" i="19"/>
  <c r="Q31" i="19"/>
  <c r="P31" i="19"/>
  <c r="R32" i="19"/>
  <c r="Q32" i="19"/>
  <c r="P32" i="19"/>
  <c r="R33" i="19"/>
  <c r="Q33" i="19"/>
  <c r="P33" i="19"/>
  <c r="R34" i="19"/>
  <c r="Q34" i="19"/>
  <c r="P34" i="19"/>
  <c r="R38" i="19"/>
  <c r="Q38" i="19"/>
  <c r="P38" i="19"/>
  <c r="O37" i="19"/>
  <c r="R39" i="19"/>
  <c r="Q39" i="19"/>
  <c r="P39" i="19"/>
  <c r="R40" i="19"/>
  <c r="Q40" i="19"/>
  <c r="P40" i="19"/>
  <c r="R41" i="19"/>
  <c r="Q41" i="19"/>
  <c r="P41" i="19"/>
  <c r="O49" i="19"/>
  <c r="R42" i="19"/>
  <c r="Q42" i="19"/>
  <c r="P42" i="19"/>
  <c r="R43" i="19"/>
  <c r="Q43" i="19"/>
  <c r="P43" i="19"/>
  <c r="R44" i="19"/>
  <c r="Q44" i="19"/>
  <c r="P44" i="19"/>
  <c r="R45" i="19"/>
  <c r="Q45" i="19"/>
  <c r="P45" i="19"/>
  <c r="R46" i="19"/>
  <c r="Q46" i="19"/>
  <c r="P46" i="19"/>
  <c r="R47" i="19"/>
  <c r="Q47" i="19"/>
  <c r="P47" i="19"/>
  <c r="R48" i="19"/>
  <c r="Q48" i="19"/>
  <c r="P48" i="19"/>
  <c r="R52" i="19"/>
  <c r="Q52" i="19"/>
  <c r="P52" i="19"/>
  <c r="O51" i="19"/>
  <c r="R53" i="19"/>
  <c r="Q53" i="19"/>
  <c r="P53" i="19"/>
  <c r="R54" i="19"/>
  <c r="Q54" i="19"/>
  <c r="P54" i="19"/>
  <c r="R55" i="19"/>
  <c r="Q55" i="19"/>
  <c r="P55" i="19"/>
  <c r="O63" i="19"/>
  <c r="R56" i="19"/>
  <c r="Q56" i="19"/>
  <c r="P56" i="19"/>
  <c r="R57" i="19"/>
  <c r="Q57" i="19"/>
  <c r="P57" i="19"/>
  <c r="R58" i="19"/>
  <c r="Q58" i="19"/>
  <c r="P58" i="19"/>
  <c r="R59" i="19"/>
  <c r="Q59" i="19"/>
  <c r="P59" i="19"/>
  <c r="R60" i="19"/>
  <c r="Q60" i="19"/>
  <c r="P60" i="19"/>
  <c r="R61" i="19"/>
  <c r="Q61" i="19"/>
  <c r="P61" i="19"/>
  <c r="R62" i="19"/>
  <c r="Q62" i="19"/>
  <c r="P62" i="19"/>
  <c r="R66" i="19"/>
  <c r="Q66" i="19"/>
  <c r="P66" i="19"/>
  <c r="O65" i="19"/>
  <c r="R67" i="19"/>
  <c r="Q67" i="19"/>
  <c r="P67" i="19"/>
  <c r="R68" i="19"/>
  <c r="Q68" i="19"/>
  <c r="P68" i="19"/>
  <c r="R69" i="19"/>
  <c r="Q69" i="19"/>
  <c r="P69" i="19"/>
  <c r="O77" i="19"/>
  <c r="R70" i="19"/>
  <c r="Q70" i="19"/>
  <c r="P70" i="19"/>
  <c r="R71" i="19"/>
  <c r="Q71" i="19"/>
  <c r="P71" i="19"/>
  <c r="R72" i="19"/>
  <c r="Q72" i="19"/>
  <c r="P72" i="19"/>
  <c r="R73" i="19"/>
  <c r="Q73" i="19"/>
  <c r="P73" i="19"/>
  <c r="R74" i="19"/>
  <c r="Q74" i="19"/>
  <c r="P74" i="19"/>
  <c r="R75" i="19"/>
  <c r="Q75" i="19"/>
  <c r="P75" i="19"/>
  <c r="R76" i="19"/>
  <c r="Q76" i="19"/>
  <c r="P76" i="19"/>
  <c r="R80" i="19"/>
  <c r="Q80" i="19"/>
  <c r="P80" i="19"/>
  <c r="O79" i="19"/>
  <c r="R81" i="19"/>
  <c r="Q81" i="19"/>
  <c r="P81" i="19"/>
  <c r="R82" i="19"/>
  <c r="Q82" i="19"/>
  <c r="P82" i="19"/>
  <c r="R83" i="19"/>
  <c r="Q83" i="19"/>
  <c r="P83" i="19"/>
  <c r="O91" i="19"/>
  <c r="R84" i="19"/>
  <c r="Q84" i="19"/>
  <c r="P84" i="19"/>
  <c r="R85" i="19"/>
  <c r="Q85" i="19"/>
  <c r="P85" i="19"/>
  <c r="R86" i="19"/>
  <c r="Q86" i="19"/>
  <c r="P86" i="19"/>
  <c r="R87" i="19"/>
  <c r="Q87" i="19"/>
  <c r="P87" i="19"/>
  <c r="R88" i="19"/>
  <c r="Q88" i="19"/>
  <c r="P88" i="19"/>
  <c r="R89" i="19"/>
  <c r="Q89" i="19"/>
  <c r="P89" i="19"/>
  <c r="R90" i="19"/>
  <c r="Q90" i="19"/>
  <c r="P90" i="19"/>
  <c r="R94" i="19"/>
  <c r="Q94" i="19"/>
  <c r="P94" i="19"/>
  <c r="O93" i="19"/>
  <c r="R95" i="19"/>
  <c r="Q95" i="19"/>
  <c r="P95" i="19"/>
  <c r="R96" i="19"/>
  <c r="Q96" i="19"/>
  <c r="P96" i="19"/>
  <c r="R97" i="19"/>
  <c r="Q97" i="19"/>
  <c r="P97" i="19"/>
  <c r="O105" i="19"/>
  <c r="R98" i="19"/>
  <c r="Q98" i="19"/>
  <c r="P98" i="19"/>
  <c r="R99" i="19"/>
  <c r="Q99" i="19"/>
  <c r="P99" i="19"/>
  <c r="R100" i="19"/>
  <c r="Q100" i="19"/>
  <c r="P100" i="19"/>
  <c r="R101" i="19"/>
  <c r="Q101" i="19"/>
  <c r="P101" i="19"/>
  <c r="R102" i="19"/>
  <c r="Q102" i="19"/>
  <c r="P102" i="19"/>
  <c r="R103" i="19"/>
  <c r="Q103" i="19"/>
  <c r="P103" i="19"/>
  <c r="R104" i="19"/>
  <c r="Q104" i="19"/>
  <c r="P104" i="19"/>
  <c r="R108" i="19"/>
  <c r="Q108" i="19"/>
  <c r="P108" i="19"/>
  <c r="O107" i="19"/>
  <c r="R109" i="19"/>
  <c r="Q109" i="19"/>
  <c r="P109" i="19"/>
  <c r="R110" i="19"/>
  <c r="Q110" i="19"/>
  <c r="P110" i="19"/>
  <c r="R111" i="19"/>
  <c r="Q111" i="19"/>
  <c r="P111" i="19"/>
  <c r="O119" i="19"/>
  <c r="R112" i="19"/>
  <c r="Q112" i="19"/>
  <c r="P112" i="19"/>
  <c r="R113" i="19"/>
  <c r="Q113" i="19"/>
  <c r="P113" i="19"/>
  <c r="R114" i="19"/>
  <c r="Q114" i="19"/>
  <c r="P114" i="19"/>
  <c r="R115" i="19"/>
  <c r="Q115" i="19"/>
  <c r="P115" i="19"/>
  <c r="R116" i="19"/>
  <c r="Q116" i="19"/>
  <c r="P116" i="19"/>
  <c r="R117" i="19"/>
  <c r="Q117" i="19"/>
  <c r="P117" i="19"/>
  <c r="R118" i="19"/>
  <c r="Q118" i="19"/>
  <c r="P118" i="19"/>
  <c r="R122" i="19"/>
  <c r="Q122" i="19"/>
  <c r="P122" i="19"/>
  <c r="O121" i="19"/>
  <c r="R123" i="19"/>
  <c r="Q123" i="19"/>
  <c r="P123" i="19"/>
  <c r="R124" i="19"/>
  <c r="Q124" i="19"/>
  <c r="P124" i="19"/>
  <c r="O133" i="19"/>
  <c r="R125" i="19"/>
  <c r="Q125" i="19"/>
  <c r="P125" i="19"/>
  <c r="R126" i="19"/>
  <c r="Q126" i="19"/>
  <c r="P126" i="19"/>
  <c r="R127" i="19"/>
  <c r="Q127" i="19"/>
  <c r="P127" i="19"/>
  <c r="R128" i="19"/>
  <c r="Q128" i="19"/>
  <c r="P128" i="19"/>
  <c r="R129" i="19"/>
  <c r="Q129" i="19"/>
  <c r="P129" i="19"/>
  <c r="P130" i="19"/>
  <c r="R130" i="19"/>
  <c r="Q130" i="19"/>
  <c r="P131" i="19"/>
  <c r="R131" i="19"/>
  <c r="Q131" i="19"/>
  <c r="P132" i="19"/>
  <c r="R132" i="19"/>
  <c r="Q132" i="19"/>
  <c r="P136" i="19"/>
  <c r="O135" i="19"/>
  <c r="R136" i="19"/>
  <c r="Q136" i="19"/>
  <c r="P137" i="19"/>
  <c r="R137" i="19"/>
  <c r="Q137" i="19"/>
  <c r="P138" i="19"/>
  <c r="R138" i="19"/>
  <c r="Q138" i="19"/>
  <c r="P139" i="19"/>
  <c r="O147" i="19"/>
  <c r="R139" i="19"/>
  <c r="Q139" i="19"/>
  <c r="P140" i="19"/>
  <c r="R140" i="19"/>
  <c r="Q140" i="19"/>
  <c r="P141" i="19"/>
  <c r="R141" i="19"/>
  <c r="Q141" i="19"/>
  <c r="P142" i="19"/>
  <c r="R142" i="19"/>
  <c r="Q142" i="19"/>
  <c r="P143" i="19"/>
  <c r="R143" i="19"/>
  <c r="Q143" i="19"/>
  <c r="P144" i="19"/>
  <c r="R144" i="19"/>
  <c r="Q144" i="19"/>
  <c r="P145" i="19"/>
  <c r="R145" i="19"/>
  <c r="Q145" i="19"/>
  <c r="P146" i="19"/>
  <c r="R146" i="19"/>
  <c r="Q146" i="19"/>
  <c r="P150" i="19"/>
  <c r="O149" i="19"/>
  <c r="R150" i="19"/>
  <c r="Q150" i="19"/>
  <c r="P151" i="19"/>
  <c r="R151" i="19"/>
  <c r="Q151" i="19"/>
  <c r="P152" i="19"/>
  <c r="R152" i="19"/>
  <c r="Q152" i="19"/>
  <c r="P153" i="19"/>
  <c r="O161" i="19"/>
  <c r="R153" i="19"/>
  <c r="Q153" i="19"/>
  <c r="P154" i="19"/>
  <c r="R154" i="19"/>
  <c r="Q154" i="19"/>
  <c r="P155" i="19"/>
  <c r="R155" i="19"/>
  <c r="Q155" i="19"/>
  <c r="P156" i="19"/>
  <c r="R156" i="19"/>
  <c r="Q156" i="19"/>
  <c r="P157" i="19"/>
  <c r="R157" i="19"/>
  <c r="Q157" i="19"/>
  <c r="P158" i="19"/>
  <c r="R158" i="19"/>
  <c r="Q158" i="19"/>
  <c r="P159" i="19"/>
  <c r="R159" i="19"/>
  <c r="Q159" i="19"/>
  <c r="P160" i="19"/>
  <c r="R160" i="19"/>
  <c r="Q160" i="19"/>
  <c r="Q151" i="18"/>
  <c r="J149" i="18"/>
  <c r="H148" i="18"/>
  <c r="I149" i="18"/>
  <c r="X145" i="18"/>
  <c r="Q131" i="18"/>
  <c r="J129" i="18"/>
  <c r="I129" i="18"/>
  <c r="X126" i="18"/>
  <c r="Q112" i="18"/>
  <c r="H118" i="18"/>
  <c r="J110" i="18"/>
  <c r="I110" i="18"/>
  <c r="W106" i="18"/>
  <c r="X107" i="18"/>
  <c r="P92" i="18"/>
  <c r="Q93" i="18"/>
  <c r="X87" i="18"/>
  <c r="Q73" i="18"/>
  <c r="J71" i="18"/>
  <c r="I71" i="18"/>
  <c r="W76" i="18"/>
  <c r="X68" i="18"/>
  <c r="P62" i="18"/>
  <c r="R54" i="18"/>
  <c r="Q54" i="18"/>
  <c r="J52" i="18"/>
  <c r="I52" i="18"/>
  <c r="X39" i="18"/>
  <c r="R38" i="18"/>
  <c r="Q38" i="18"/>
  <c r="X32" i="18"/>
  <c r="Q31" i="18"/>
  <c r="J29" i="18"/>
  <c r="I29" i="18"/>
  <c r="W34" i="18"/>
  <c r="X26" i="18"/>
  <c r="Q25" i="18"/>
  <c r="J23" i="18"/>
  <c r="I23" i="18"/>
  <c r="H22" i="18"/>
  <c r="X19" i="18"/>
  <c r="Q18" i="18"/>
  <c r="I16" i="18"/>
  <c r="J16" i="18"/>
  <c r="X13" i="18"/>
  <c r="P20" i="18"/>
  <c r="Q12" i="18"/>
  <c r="J10" i="18"/>
  <c r="I10" i="18"/>
  <c r="X46" i="18"/>
  <c r="X53" i="18"/>
  <c r="X59" i="18"/>
  <c r="X66" i="18"/>
  <c r="X72" i="18"/>
  <c r="X79" i="18"/>
  <c r="W78" i="18"/>
  <c r="Y85" i="18"/>
  <c r="X85" i="18"/>
  <c r="X98" i="18"/>
  <c r="X111" i="18"/>
  <c r="Y117" i="18"/>
  <c r="X117" i="18"/>
  <c r="X124" i="18"/>
  <c r="W132" i="18"/>
  <c r="X130" i="18"/>
  <c r="X137" i="18"/>
  <c r="X143" i="18"/>
  <c r="X150" i="18"/>
  <c r="X156" i="18"/>
  <c r="X45" i="18"/>
  <c r="X52" i="18"/>
  <c r="X58" i="18"/>
  <c r="X65" i="18"/>
  <c r="W64" i="18"/>
  <c r="Y71" i="18"/>
  <c r="X71" i="18"/>
  <c r="X84" i="18"/>
  <c r="X97" i="18"/>
  <c r="Y103" i="18"/>
  <c r="X103" i="18"/>
  <c r="X110" i="18"/>
  <c r="W118" i="18"/>
  <c r="X116" i="18"/>
  <c r="X123" i="18"/>
  <c r="X129" i="18"/>
  <c r="X136" i="18"/>
  <c r="X142" i="18"/>
  <c r="X149" i="18"/>
  <c r="W148" i="18"/>
  <c r="Y155" i="18"/>
  <c r="X155" i="18"/>
  <c r="X44" i="18"/>
  <c r="X51" i="18"/>
  <c r="W50" i="18"/>
  <c r="Y51" i="18"/>
  <c r="X57" i="18"/>
  <c r="X70" i="18"/>
  <c r="X83" i="18"/>
  <c r="Y83" i="18"/>
  <c r="X89" i="18"/>
  <c r="X96" i="18"/>
  <c r="W104" i="18"/>
  <c r="X102" i="18"/>
  <c r="X109" i="18"/>
  <c r="X115" i="18"/>
  <c r="X122" i="18"/>
  <c r="X128" i="18"/>
  <c r="X135" i="18"/>
  <c r="W134" i="18"/>
  <c r="Y135" i="18"/>
  <c r="X141" i="18"/>
  <c r="X154" i="18"/>
  <c r="X43" i="18"/>
  <c r="X56" i="18"/>
  <c r="X69" i="18"/>
  <c r="X75" i="18"/>
  <c r="Y75" i="18"/>
  <c r="W90" i="18"/>
  <c r="X82" i="18"/>
  <c r="X88" i="18"/>
  <c r="X95" i="18"/>
  <c r="X101" i="18"/>
  <c r="X108" i="18"/>
  <c r="X114" i="18"/>
  <c r="X121" i="18"/>
  <c r="W120" i="18"/>
  <c r="X127" i="18"/>
  <c r="X140" i="18"/>
  <c r="X153" i="18"/>
  <c r="X159" i="18"/>
  <c r="Q150" i="18"/>
  <c r="Q130" i="18"/>
  <c r="J128" i="18"/>
  <c r="I128" i="18"/>
  <c r="X125" i="18"/>
  <c r="Q111" i="18"/>
  <c r="J109" i="18"/>
  <c r="I109" i="18"/>
  <c r="J89" i="18"/>
  <c r="I89" i="18"/>
  <c r="X86" i="18"/>
  <c r="Q72" i="18"/>
  <c r="J70" i="18"/>
  <c r="I70" i="18"/>
  <c r="X67" i="18"/>
  <c r="Q53" i="18"/>
  <c r="J51" i="18"/>
  <c r="I51" i="18"/>
  <c r="H50" i="18"/>
  <c r="X47" i="18"/>
  <c r="Y40" i="18"/>
  <c r="X40" i="18"/>
  <c r="W48" i="18"/>
  <c r="Q39" i="18"/>
  <c r="I37" i="18"/>
  <c r="H36" i="18"/>
  <c r="J37" i="18"/>
  <c r="X33" i="18"/>
  <c r="Q32" i="18"/>
  <c r="I30" i="18"/>
  <c r="J30" i="18"/>
  <c r="X27" i="18"/>
  <c r="Q26" i="18"/>
  <c r="P34" i="18"/>
  <c r="R26" i="18"/>
  <c r="I24" i="18"/>
  <c r="J24" i="18"/>
  <c r="Q19" i="18"/>
  <c r="I17" i="18"/>
  <c r="J17" i="18"/>
  <c r="X14" i="18"/>
  <c r="Q13" i="18"/>
  <c r="I11" i="18"/>
  <c r="J11" i="18"/>
  <c r="Q45" i="18"/>
  <c r="Q52" i="18"/>
  <c r="Q58" i="18"/>
  <c r="Q65" i="18"/>
  <c r="P64" i="18"/>
  <c r="Q71" i="18"/>
  <c r="R84" i="18"/>
  <c r="Q84" i="18"/>
  <c r="Q97" i="18"/>
  <c r="Q103" i="18"/>
  <c r="R110" i="18"/>
  <c r="Q110" i="18"/>
  <c r="P118" i="18"/>
  <c r="Q116" i="18"/>
  <c r="Q123" i="18"/>
  <c r="Q129" i="18"/>
  <c r="Q136" i="18"/>
  <c r="Q142" i="18"/>
  <c r="Q149" i="18"/>
  <c r="P148" i="18"/>
  <c r="Q155" i="18"/>
  <c r="R44" i="18"/>
  <c r="Q44" i="18"/>
  <c r="Q51" i="18"/>
  <c r="P50" i="18"/>
  <c r="Q57" i="18"/>
  <c r="Q70" i="18"/>
  <c r="Q83" i="18"/>
  <c r="Q89" i="18"/>
  <c r="Q96" i="18"/>
  <c r="P104" i="18"/>
  <c r="Q102" i="18"/>
  <c r="R109" i="18"/>
  <c r="Q109" i="18"/>
  <c r="Q115" i="18"/>
  <c r="Q122" i="18"/>
  <c r="R128" i="18"/>
  <c r="Q128" i="18"/>
  <c r="Q135" i="18"/>
  <c r="P134" i="18"/>
  <c r="Q141" i="18"/>
  <c r="Q154" i="18"/>
  <c r="Q43" i="18"/>
  <c r="Q56" i="18"/>
  <c r="R56" i="18"/>
  <c r="Q69" i="18"/>
  <c r="Q75" i="18"/>
  <c r="Q82" i="18"/>
  <c r="P90" i="18"/>
  <c r="Q88" i="18"/>
  <c r="Q95" i="18"/>
  <c r="Q101" i="18"/>
  <c r="Q108" i="18"/>
  <c r="Q114" i="18"/>
  <c r="Q121" i="18"/>
  <c r="P120" i="18"/>
  <c r="Q127" i="18"/>
  <c r="Q140" i="18"/>
  <c r="R140" i="18"/>
  <c r="Q153" i="18"/>
  <c r="Q159" i="18"/>
  <c r="Q42" i="18"/>
  <c r="R42" i="18"/>
  <c r="Q55" i="18"/>
  <c r="Q61" i="18"/>
  <c r="P76" i="18"/>
  <c r="R68" i="18"/>
  <c r="Q68" i="18"/>
  <c r="Q74" i="18"/>
  <c r="Q81" i="18"/>
  <c r="R87" i="18"/>
  <c r="Q87" i="18"/>
  <c r="Q94" i="18"/>
  <c r="Q100" i="18"/>
  <c r="R107" i="18"/>
  <c r="Q107" i="18"/>
  <c r="P106" i="18"/>
  <c r="Q113" i="18"/>
  <c r="Q126" i="18"/>
  <c r="Q139" i="18"/>
  <c r="Q145" i="18"/>
  <c r="P160" i="18"/>
  <c r="R152" i="18"/>
  <c r="Q152" i="18"/>
  <c r="Q158" i="18"/>
  <c r="U20" i="17"/>
  <c r="V20" i="17"/>
  <c r="U19" i="17"/>
  <c r="V19" i="17"/>
  <c r="U18" i="17"/>
  <c r="V18" i="17"/>
  <c r="U17" i="17"/>
  <c r="V17" i="17"/>
  <c r="U16" i="17"/>
  <c r="V16" i="17"/>
  <c r="U15" i="17"/>
  <c r="V15" i="17"/>
  <c r="U14" i="17"/>
  <c r="V14" i="17"/>
  <c r="W14" i="17"/>
  <c r="U13" i="17"/>
  <c r="T21" i="17"/>
  <c r="V13" i="17"/>
  <c r="U12" i="17"/>
  <c r="V12" i="17"/>
  <c r="U11" i="17"/>
  <c r="V11" i="17"/>
  <c r="U10" i="17"/>
  <c r="T9" i="17"/>
  <c r="W12" i="17" s="1"/>
  <c r="V10" i="17"/>
  <c r="Z7" i="19"/>
  <c r="T7" i="19"/>
  <c r="M161" i="19"/>
  <c r="M149" i="19"/>
  <c r="M147" i="19"/>
  <c r="M135" i="19"/>
  <c r="M133" i="19"/>
  <c r="M121" i="19"/>
  <c r="M91" i="19"/>
  <c r="M79" i="19"/>
  <c r="M49" i="19"/>
  <c r="M37" i="19"/>
  <c r="L7" i="19"/>
  <c r="M119" i="19"/>
  <c r="M107" i="19"/>
  <c r="M77" i="19"/>
  <c r="M65" i="19"/>
  <c r="M35" i="19"/>
  <c r="M23" i="19"/>
  <c r="M105" i="19"/>
  <c r="M21" i="19"/>
  <c r="M9" i="19"/>
  <c r="M93" i="19"/>
  <c r="M63" i="19"/>
  <c r="M51" i="19"/>
  <c r="J155" i="18"/>
  <c r="I155" i="18"/>
  <c r="W160" i="18"/>
  <c r="X152" i="18"/>
  <c r="P146" i="18"/>
  <c r="Q138" i="18"/>
  <c r="J136" i="18"/>
  <c r="I136" i="18"/>
  <c r="J116" i="18"/>
  <c r="I116" i="18"/>
  <c r="X113" i="18"/>
  <c r="Q99" i="18"/>
  <c r="J97" i="18"/>
  <c r="I97" i="18"/>
  <c r="X94" i="18"/>
  <c r="Q80" i="18"/>
  <c r="X74" i="18"/>
  <c r="Q60" i="18"/>
  <c r="J58" i="18"/>
  <c r="I58" i="18"/>
  <c r="X55" i="18"/>
  <c r="Q41" i="18"/>
  <c r="J38" i="18"/>
  <c r="I38" i="18"/>
  <c r="Q33" i="18"/>
  <c r="J31" i="18"/>
  <c r="I31" i="18"/>
  <c r="X28" i="18"/>
  <c r="Q27" i="18"/>
  <c r="J25" i="18"/>
  <c r="I25" i="18"/>
  <c r="J18" i="18"/>
  <c r="I18" i="18"/>
  <c r="X15" i="18"/>
  <c r="Q14" i="18"/>
  <c r="J12" i="18"/>
  <c r="I12" i="18"/>
  <c r="H20" i="18"/>
  <c r="Y9" i="18"/>
  <c r="X9" i="18"/>
  <c r="W8" i="18"/>
  <c r="Y68" i="18" s="1"/>
  <c r="Q156" i="18"/>
  <c r="J154" i="18"/>
  <c r="I154" i="18"/>
  <c r="Y151" i="18"/>
  <c r="X151" i="18"/>
  <c r="Q137" i="18"/>
  <c r="J135" i="18"/>
  <c r="I135" i="18"/>
  <c r="H134" i="18"/>
  <c r="Y131" i="18"/>
  <c r="X131" i="18"/>
  <c r="Q117" i="18"/>
  <c r="J115" i="18"/>
  <c r="I115" i="18"/>
  <c r="Y112" i="18"/>
  <c r="X112" i="18"/>
  <c r="Q98" i="18"/>
  <c r="H104" i="18"/>
  <c r="J96" i="18"/>
  <c r="I96" i="18"/>
  <c r="Y93" i="18"/>
  <c r="X93" i="18"/>
  <c r="W92" i="18"/>
  <c r="R79" i="18"/>
  <c r="Q79" i="18"/>
  <c r="P78" i="18"/>
  <c r="Y73" i="18"/>
  <c r="X73" i="18"/>
  <c r="Q59" i="18"/>
  <c r="J57" i="18"/>
  <c r="I57" i="18"/>
  <c r="W62" i="18"/>
  <c r="Y54" i="18"/>
  <c r="X54" i="18"/>
  <c r="J39" i="18"/>
  <c r="I39" i="18"/>
  <c r="J32" i="18"/>
  <c r="I32" i="18"/>
  <c r="Y29" i="18"/>
  <c r="X29" i="18"/>
  <c r="R28" i="18"/>
  <c r="Q28" i="18"/>
  <c r="J26" i="18"/>
  <c r="I26" i="18"/>
  <c r="H34" i="18"/>
  <c r="Y23" i="18"/>
  <c r="X23" i="18"/>
  <c r="W22" i="18"/>
  <c r="J19" i="18"/>
  <c r="I19" i="18"/>
  <c r="Y16" i="18"/>
  <c r="X16" i="18"/>
  <c r="R15" i="18"/>
  <c r="Q15" i="18"/>
  <c r="J13" i="18"/>
  <c r="I13" i="18"/>
  <c r="Y10" i="18"/>
  <c r="X10" i="18"/>
  <c r="R9" i="18"/>
  <c r="Q9" i="18"/>
  <c r="P8" i="18"/>
  <c r="R131" i="18" s="1"/>
  <c r="J43" i="18"/>
  <c r="I43" i="18"/>
  <c r="J56" i="18"/>
  <c r="I56" i="18"/>
  <c r="J69" i="18"/>
  <c r="I69" i="18"/>
  <c r="J75" i="18"/>
  <c r="I75" i="18"/>
  <c r="J82" i="18"/>
  <c r="I82" i="18"/>
  <c r="H90" i="18"/>
  <c r="J88" i="18"/>
  <c r="I88" i="18"/>
  <c r="J95" i="18"/>
  <c r="I95" i="18"/>
  <c r="J101" i="18"/>
  <c r="I101" i="18"/>
  <c r="J108" i="18"/>
  <c r="I108" i="18"/>
  <c r="J114" i="18"/>
  <c r="I114" i="18"/>
  <c r="J121" i="18"/>
  <c r="I121" i="18"/>
  <c r="H120" i="18"/>
  <c r="J127" i="18"/>
  <c r="I127" i="18"/>
  <c r="J140" i="18"/>
  <c r="I140" i="18"/>
  <c r="J153" i="18"/>
  <c r="I153" i="18"/>
  <c r="J159" i="18"/>
  <c r="I159" i="18"/>
  <c r="J42" i="18"/>
  <c r="I42" i="18"/>
  <c r="J55" i="18"/>
  <c r="I55" i="18"/>
  <c r="J61" i="18"/>
  <c r="I61" i="18"/>
  <c r="J68" i="18"/>
  <c r="I68" i="18"/>
  <c r="H76" i="18"/>
  <c r="J74" i="18"/>
  <c r="I74" i="18"/>
  <c r="J81" i="18"/>
  <c r="I81" i="18"/>
  <c r="J87" i="18"/>
  <c r="I87" i="18"/>
  <c r="J94" i="18"/>
  <c r="I94" i="18"/>
  <c r="J100" i="18"/>
  <c r="I100" i="18"/>
  <c r="J107" i="18"/>
  <c r="I107" i="18"/>
  <c r="H106" i="18"/>
  <c r="J113" i="18"/>
  <c r="I113" i="18"/>
  <c r="J126" i="18"/>
  <c r="I126" i="18"/>
  <c r="J139" i="18"/>
  <c r="I139" i="18"/>
  <c r="J145" i="18"/>
  <c r="I145" i="18"/>
  <c r="J152" i="18"/>
  <c r="I152" i="18"/>
  <c r="H160" i="18"/>
  <c r="J158" i="18"/>
  <c r="I158" i="18"/>
  <c r="I41" i="18"/>
  <c r="J41" i="18"/>
  <c r="I47" i="18"/>
  <c r="J47" i="18"/>
  <c r="I54" i="18"/>
  <c r="H62" i="18"/>
  <c r="J54" i="18"/>
  <c r="I60" i="18"/>
  <c r="J60" i="18"/>
  <c r="I67" i="18"/>
  <c r="J67" i="18"/>
  <c r="I73" i="18"/>
  <c r="J73" i="18"/>
  <c r="I80" i="18"/>
  <c r="J80" i="18"/>
  <c r="I86" i="18"/>
  <c r="J86" i="18"/>
  <c r="I93" i="18"/>
  <c r="H92" i="18"/>
  <c r="J93" i="18"/>
  <c r="I99" i="18"/>
  <c r="J99" i="18"/>
  <c r="I112" i="18"/>
  <c r="J112" i="18"/>
  <c r="I125" i="18"/>
  <c r="J125" i="18"/>
  <c r="I131" i="18"/>
  <c r="J131" i="18"/>
  <c r="I138" i="18"/>
  <c r="H146" i="18"/>
  <c r="J138" i="18"/>
  <c r="I144" i="18"/>
  <c r="J144" i="18"/>
  <c r="I151" i="18"/>
  <c r="J151" i="18"/>
  <c r="I157" i="18"/>
  <c r="J157" i="18"/>
  <c r="J46" i="18"/>
  <c r="I46" i="18"/>
  <c r="J53" i="18"/>
  <c r="I53" i="18"/>
  <c r="I59" i="18"/>
  <c r="J59" i="18"/>
  <c r="J66" i="18"/>
  <c r="I66" i="18"/>
  <c r="J72" i="18"/>
  <c r="I72" i="18"/>
  <c r="I79" i="18"/>
  <c r="H78" i="18"/>
  <c r="J79" i="18"/>
  <c r="J85" i="18"/>
  <c r="I85" i="18"/>
  <c r="I98" i="18"/>
  <c r="J98" i="18"/>
  <c r="J111" i="18"/>
  <c r="I111" i="18"/>
  <c r="I117" i="18"/>
  <c r="J117" i="18"/>
  <c r="H132" i="18"/>
  <c r="J124" i="18"/>
  <c r="I124" i="18"/>
  <c r="J130" i="18"/>
  <c r="I130" i="18"/>
  <c r="I137" i="18"/>
  <c r="J137" i="18"/>
  <c r="J143" i="18"/>
  <c r="I143" i="18"/>
  <c r="J150" i="18"/>
  <c r="I150" i="18"/>
  <c r="I156" i="18"/>
  <c r="J156" i="18"/>
  <c r="V19" i="16"/>
  <c r="U19" i="16"/>
  <c r="W18" i="16"/>
  <c r="V18" i="16"/>
  <c r="U18" i="16"/>
  <c r="V17" i="16"/>
  <c r="U17" i="16"/>
  <c r="W16" i="16"/>
  <c r="V16" i="16"/>
  <c r="U16" i="16"/>
  <c r="V15" i="16"/>
  <c r="U15" i="16"/>
  <c r="W14" i="16"/>
  <c r="V14" i="16"/>
  <c r="U14" i="16"/>
  <c r="T21" i="16"/>
  <c r="W13" i="16"/>
  <c r="V13" i="16"/>
  <c r="U13" i="16"/>
  <c r="V12" i="16"/>
  <c r="U12" i="16"/>
  <c r="W11" i="16"/>
  <c r="V11" i="16"/>
  <c r="U11" i="16"/>
  <c r="T9" i="16"/>
  <c r="W20" i="16" s="1"/>
  <c r="W10" i="16"/>
  <c r="V10" i="16"/>
  <c r="U10" i="16"/>
  <c r="M150" i="15"/>
  <c r="L150" i="15"/>
  <c r="K150" i="15"/>
  <c r="J150" i="15"/>
  <c r="I150" i="15"/>
  <c r="M143" i="15"/>
  <c r="L143" i="15"/>
  <c r="K143" i="15"/>
  <c r="J143" i="15"/>
  <c r="I143" i="15"/>
  <c r="M137" i="15"/>
  <c r="L137" i="15"/>
  <c r="K137" i="15"/>
  <c r="J137" i="15"/>
  <c r="I137" i="15"/>
  <c r="M130" i="15"/>
  <c r="L130" i="15"/>
  <c r="K130" i="15"/>
  <c r="J130" i="15"/>
  <c r="I130" i="15"/>
  <c r="M124" i="15"/>
  <c r="L124" i="15"/>
  <c r="K124" i="15"/>
  <c r="I124" i="15"/>
  <c r="J124" i="15"/>
  <c r="M117" i="15"/>
  <c r="L117" i="15"/>
  <c r="K117" i="15"/>
  <c r="J117" i="15"/>
  <c r="I117" i="15"/>
  <c r="M111" i="15"/>
  <c r="H119" i="15"/>
  <c r="L111" i="15"/>
  <c r="K111" i="15"/>
  <c r="J111" i="15"/>
  <c r="I111" i="15"/>
  <c r="M104" i="15"/>
  <c r="L104" i="15"/>
  <c r="K104" i="15"/>
  <c r="I104" i="15"/>
  <c r="J104" i="15"/>
  <c r="M98" i="15"/>
  <c r="L98" i="15"/>
  <c r="K98" i="15"/>
  <c r="J98" i="15"/>
  <c r="I98" i="15"/>
  <c r="M85" i="15"/>
  <c r="L85" i="15"/>
  <c r="K85" i="15"/>
  <c r="J85" i="15"/>
  <c r="I85" i="15"/>
  <c r="M79" i="15"/>
  <c r="L79" i="15"/>
  <c r="K79" i="15"/>
  <c r="J79" i="15"/>
  <c r="I79" i="15"/>
  <c r="M72" i="15"/>
  <c r="L72" i="15"/>
  <c r="K72" i="15"/>
  <c r="J72" i="15"/>
  <c r="I72" i="15"/>
  <c r="M66" i="15"/>
  <c r="L66" i="15"/>
  <c r="K66" i="15"/>
  <c r="I66" i="15"/>
  <c r="J66" i="15"/>
  <c r="M59" i="15"/>
  <c r="L59" i="15"/>
  <c r="K59" i="15"/>
  <c r="J59" i="15"/>
  <c r="I59" i="15"/>
  <c r="M53" i="15"/>
  <c r="L53" i="15"/>
  <c r="K53" i="15"/>
  <c r="J53" i="15"/>
  <c r="I53" i="15"/>
  <c r="M46" i="15"/>
  <c r="L46" i="15"/>
  <c r="K46" i="15"/>
  <c r="I46" i="15"/>
  <c r="J46" i="15"/>
  <c r="M40" i="15"/>
  <c r="L40" i="15"/>
  <c r="K40" i="15"/>
  <c r="J40" i="15"/>
  <c r="I40" i="15"/>
  <c r="M33" i="15"/>
  <c r="L33" i="15"/>
  <c r="K33" i="15"/>
  <c r="J33" i="15"/>
  <c r="I33" i="15"/>
  <c r="M27" i="15"/>
  <c r="H35" i="15"/>
  <c r="L27" i="15"/>
  <c r="K27" i="15"/>
  <c r="J27" i="15"/>
  <c r="I27" i="15"/>
  <c r="M20" i="15"/>
  <c r="L20" i="15"/>
  <c r="K20" i="15"/>
  <c r="J20" i="15"/>
  <c r="I20" i="15"/>
  <c r="M17" i="15"/>
  <c r="L17" i="15"/>
  <c r="K17" i="15"/>
  <c r="I17" i="15"/>
  <c r="J17" i="15"/>
  <c r="M14" i="15"/>
  <c r="L14" i="15"/>
  <c r="K14" i="15"/>
  <c r="J14" i="15"/>
  <c r="I14" i="15"/>
  <c r="M11" i="15"/>
  <c r="L11" i="15"/>
  <c r="K11" i="15"/>
  <c r="J11" i="15"/>
  <c r="I11" i="15"/>
  <c r="I157" i="15"/>
  <c r="M157" i="15"/>
  <c r="L157" i="15"/>
  <c r="J157" i="15"/>
  <c r="K157" i="15"/>
  <c r="I151" i="15"/>
  <c r="M151" i="15"/>
  <c r="L151" i="15"/>
  <c r="K151" i="15"/>
  <c r="J151" i="15"/>
  <c r="I144" i="15"/>
  <c r="M144" i="15"/>
  <c r="L144" i="15"/>
  <c r="K144" i="15"/>
  <c r="J144" i="15"/>
  <c r="I138" i="15"/>
  <c r="M138" i="15"/>
  <c r="L138" i="15"/>
  <c r="K138" i="15"/>
  <c r="J138" i="15"/>
  <c r="I131" i="15"/>
  <c r="M131" i="15"/>
  <c r="L131" i="15"/>
  <c r="K131" i="15"/>
  <c r="J131" i="15"/>
  <c r="I125" i="15"/>
  <c r="M125" i="15"/>
  <c r="H133" i="15"/>
  <c r="L125" i="15"/>
  <c r="K125" i="15"/>
  <c r="J125" i="15"/>
  <c r="I118" i="15"/>
  <c r="M118" i="15"/>
  <c r="L118" i="15"/>
  <c r="J118" i="15"/>
  <c r="K118" i="15"/>
  <c r="I112" i="15"/>
  <c r="M112" i="15"/>
  <c r="L112" i="15"/>
  <c r="K112" i="15"/>
  <c r="J112" i="15"/>
  <c r="I99" i="15"/>
  <c r="M99" i="15"/>
  <c r="L99" i="15"/>
  <c r="J99" i="15"/>
  <c r="K99" i="15"/>
  <c r="I93" i="15"/>
  <c r="M93" i="15"/>
  <c r="L93" i="15"/>
  <c r="K93" i="15"/>
  <c r="J93" i="15"/>
  <c r="I86" i="15"/>
  <c r="M86" i="15"/>
  <c r="L86" i="15"/>
  <c r="K86" i="15"/>
  <c r="J86" i="15"/>
  <c r="I80" i="15"/>
  <c r="M80" i="15"/>
  <c r="L80" i="15"/>
  <c r="K80" i="15"/>
  <c r="J80" i="15"/>
  <c r="I73" i="15"/>
  <c r="M73" i="15"/>
  <c r="L73" i="15"/>
  <c r="K73" i="15"/>
  <c r="J73" i="15"/>
  <c r="I67" i="15"/>
  <c r="M67" i="15"/>
  <c r="L67" i="15"/>
  <c r="K67" i="15"/>
  <c r="J67" i="15"/>
  <c r="I60" i="15"/>
  <c r="M60" i="15"/>
  <c r="L60" i="15"/>
  <c r="J60" i="15"/>
  <c r="K60" i="15"/>
  <c r="I54" i="15"/>
  <c r="M54" i="15"/>
  <c r="L54" i="15"/>
  <c r="K54" i="15"/>
  <c r="J54" i="15"/>
  <c r="I47" i="15"/>
  <c r="M47" i="15"/>
  <c r="L47" i="15"/>
  <c r="K47" i="15"/>
  <c r="J47" i="15"/>
  <c r="I41" i="15"/>
  <c r="M41" i="15"/>
  <c r="H49" i="15"/>
  <c r="L41" i="15"/>
  <c r="J41" i="15"/>
  <c r="K41" i="15"/>
  <c r="I34" i="15"/>
  <c r="M34" i="15"/>
  <c r="L34" i="15"/>
  <c r="K34" i="15"/>
  <c r="J34" i="15"/>
  <c r="I28" i="15"/>
  <c r="M28" i="15"/>
  <c r="L28" i="15"/>
  <c r="K28" i="15"/>
  <c r="J28" i="15"/>
  <c r="W20" i="15"/>
  <c r="X20" i="15"/>
  <c r="Y20" i="15"/>
  <c r="W17" i="15"/>
  <c r="Y17" i="15"/>
  <c r="X17" i="15"/>
  <c r="W14" i="15"/>
  <c r="Y14" i="15"/>
  <c r="X14" i="15"/>
  <c r="W11" i="15"/>
  <c r="X11" i="15"/>
  <c r="Y11" i="15"/>
  <c r="J10" i="19"/>
  <c r="I10" i="19"/>
  <c r="H10" i="19"/>
  <c r="G9" i="19"/>
  <c r="G21" i="19"/>
  <c r="J13" i="19"/>
  <c r="I13" i="19"/>
  <c r="H13" i="19"/>
  <c r="J24" i="19"/>
  <c r="I24" i="19"/>
  <c r="G23" i="19"/>
  <c r="H24" i="19"/>
  <c r="J33" i="19"/>
  <c r="I33" i="19"/>
  <c r="H33" i="19"/>
  <c r="J43" i="19"/>
  <c r="I43" i="19"/>
  <c r="H43" i="19"/>
  <c r="J53" i="19"/>
  <c r="I53" i="19"/>
  <c r="H53" i="19"/>
  <c r="J62" i="19"/>
  <c r="I62" i="19"/>
  <c r="H62" i="19"/>
  <c r="J72" i="19"/>
  <c r="I72" i="19"/>
  <c r="H72" i="19"/>
  <c r="J82" i="19"/>
  <c r="I82" i="19"/>
  <c r="H82" i="19"/>
  <c r="J101" i="19"/>
  <c r="I101" i="19"/>
  <c r="H101" i="19"/>
  <c r="J111" i="19"/>
  <c r="I111" i="19"/>
  <c r="G119" i="19"/>
  <c r="H111" i="19"/>
  <c r="J140" i="19"/>
  <c r="I140" i="19"/>
  <c r="H140" i="19"/>
  <c r="J150" i="19"/>
  <c r="I150" i="19"/>
  <c r="H150" i="19"/>
  <c r="G149" i="19"/>
  <c r="J159" i="19"/>
  <c r="I159" i="19"/>
  <c r="H159" i="19"/>
  <c r="J11" i="19"/>
  <c r="I11" i="19"/>
  <c r="H11" i="19"/>
  <c r="J14" i="19"/>
  <c r="I14" i="19"/>
  <c r="H14" i="19"/>
  <c r="J27" i="19"/>
  <c r="I27" i="19"/>
  <c r="G35" i="19"/>
  <c r="H27" i="19"/>
  <c r="J46" i="19"/>
  <c r="I46" i="19"/>
  <c r="H46" i="19"/>
  <c r="J56" i="19"/>
  <c r="I56" i="19"/>
  <c r="H56" i="19"/>
  <c r="J66" i="19"/>
  <c r="I66" i="19"/>
  <c r="G65" i="19"/>
  <c r="H66" i="19"/>
  <c r="J75" i="19"/>
  <c r="I75" i="19"/>
  <c r="H75" i="19"/>
  <c r="J85" i="19"/>
  <c r="I85" i="19"/>
  <c r="H85" i="19"/>
  <c r="J95" i="19"/>
  <c r="I95" i="19"/>
  <c r="H95" i="19"/>
  <c r="J104" i="19"/>
  <c r="I104" i="19"/>
  <c r="H104" i="19"/>
  <c r="J114" i="19"/>
  <c r="I114" i="19"/>
  <c r="H114" i="19"/>
  <c r="J124" i="19"/>
  <c r="I124" i="19"/>
  <c r="H124" i="19"/>
  <c r="J137" i="19"/>
  <c r="I137" i="19"/>
  <c r="H137" i="19"/>
  <c r="J146" i="19"/>
  <c r="I146" i="19"/>
  <c r="H146" i="19"/>
  <c r="J156" i="19"/>
  <c r="I156" i="19"/>
  <c r="H156" i="19"/>
  <c r="J15" i="19"/>
  <c r="I15" i="19"/>
  <c r="H15" i="19"/>
  <c r="J16" i="19"/>
  <c r="I16" i="19"/>
  <c r="H16" i="19"/>
  <c r="J17" i="19"/>
  <c r="I17" i="19"/>
  <c r="H17" i="19"/>
  <c r="J18" i="19"/>
  <c r="I18" i="19"/>
  <c r="H18" i="19"/>
  <c r="J19" i="19"/>
  <c r="I19" i="19"/>
  <c r="H19" i="19"/>
  <c r="J25" i="19"/>
  <c r="I25" i="19"/>
  <c r="H25" i="19"/>
  <c r="J28" i="19"/>
  <c r="I28" i="19"/>
  <c r="H28" i="19"/>
  <c r="J31" i="19"/>
  <c r="I31" i="19"/>
  <c r="H31" i="19"/>
  <c r="J34" i="19"/>
  <c r="I34" i="19"/>
  <c r="H34" i="19"/>
  <c r="J38" i="19"/>
  <c r="I38" i="19"/>
  <c r="H38" i="19"/>
  <c r="G37" i="19"/>
  <c r="J41" i="19"/>
  <c r="I41" i="19"/>
  <c r="H41" i="19"/>
  <c r="G49" i="19"/>
  <c r="J44" i="19"/>
  <c r="I44" i="19"/>
  <c r="H44" i="19"/>
  <c r="J47" i="19"/>
  <c r="I47" i="19"/>
  <c r="H47" i="19"/>
  <c r="J54" i="19"/>
  <c r="I54" i="19"/>
  <c r="H54" i="19"/>
  <c r="J57" i="19"/>
  <c r="I57" i="19"/>
  <c r="H57" i="19"/>
  <c r="J60" i="19"/>
  <c r="I60" i="19"/>
  <c r="H60" i="19"/>
  <c r="J67" i="19"/>
  <c r="I67" i="19"/>
  <c r="H67" i="19"/>
  <c r="J70" i="19"/>
  <c r="I70" i="19"/>
  <c r="H70" i="19"/>
  <c r="J73" i="19"/>
  <c r="I73" i="19"/>
  <c r="H73" i="19"/>
  <c r="J76" i="19"/>
  <c r="I76" i="19"/>
  <c r="H76" i="19"/>
  <c r="J80" i="19"/>
  <c r="I80" i="19"/>
  <c r="H80" i="19"/>
  <c r="G79" i="19"/>
  <c r="J83" i="19"/>
  <c r="I83" i="19"/>
  <c r="H83" i="19"/>
  <c r="G91" i="19"/>
  <c r="J86" i="19"/>
  <c r="I86" i="19"/>
  <c r="H86" i="19"/>
  <c r="J89" i="19"/>
  <c r="I89" i="19"/>
  <c r="H89" i="19"/>
  <c r="J96" i="19"/>
  <c r="I96" i="19"/>
  <c r="H96" i="19"/>
  <c r="J99" i="19"/>
  <c r="I99" i="19"/>
  <c r="H99" i="19"/>
  <c r="J102" i="19"/>
  <c r="I102" i="19"/>
  <c r="H102" i="19"/>
  <c r="J109" i="19"/>
  <c r="I109" i="19"/>
  <c r="H109" i="19"/>
  <c r="J112" i="19"/>
  <c r="I112" i="19"/>
  <c r="H112" i="19"/>
  <c r="J115" i="19"/>
  <c r="I115" i="19"/>
  <c r="H115" i="19"/>
  <c r="J118" i="19"/>
  <c r="I118" i="19"/>
  <c r="H118" i="19"/>
  <c r="J122" i="19"/>
  <c r="I122" i="19"/>
  <c r="H122" i="19"/>
  <c r="G121" i="19"/>
  <c r="J125" i="19"/>
  <c r="I125" i="19"/>
  <c r="H125" i="19"/>
  <c r="G133" i="19"/>
  <c r="J128" i="19"/>
  <c r="I128" i="19"/>
  <c r="H128" i="19"/>
  <c r="J132" i="19"/>
  <c r="I132" i="19"/>
  <c r="H132" i="19"/>
  <c r="J136" i="19"/>
  <c r="I136" i="19"/>
  <c r="H136" i="19"/>
  <c r="G135" i="19"/>
  <c r="J139" i="19"/>
  <c r="I139" i="19"/>
  <c r="H139" i="19"/>
  <c r="G147" i="19"/>
  <c r="J142" i="19"/>
  <c r="I142" i="19"/>
  <c r="H142" i="19"/>
  <c r="J145" i="19"/>
  <c r="I145" i="19"/>
  <c r="H145" i="19"/>
  <c r="J152" i="19"/>
  <c r="I152" i="19"/>
  <c r="H152" i="19"/>
  <c r="J155" i="19"/>
  <c r="I155" i="19"/>
  <c r="H155" i="19"/>
  <c r="J158" i="19"/>
  <c r="I158" i="19"/>
  <c r="H158" i="19"/>
  <c r="F161" i="19"/>
  <c r="F149" i="19"/>
  <c r="F147" i="19"/>
  <c r="F135" i="19"/>
  <c r="F133" i="19"/>
  <c r="F121" i="19"/>
  <c r="F119" i="19"/>
  <c r="F107" i="19"/>
  <c r="F105" i="19"/>
  <c r="F93" i="19"/>
  <c r="F91" i="19"/>
  <c r="F79" i="19"/>
  <c r="F77" i="19"/>
  <c r="F65" i="19"/>
  <c r="F63" i="19"/>
  <c r="F51" i="19"/>
  <c r="F49" i="19"/>
  <c r="F37" i="19"/>
  <c r="F35" i="19"/>
  <c r="F23" i="19"/>
  <c r="F21" i="19"/>
  <c r="F9" i="19"/>
  <c r="E7" i="19"/>
  <c r="J26" i="19"/>
  <c r="I26" i="19"/>
  <c r="H26" i="19"/>
  <c r="J29" i="19"/>
  <c r="I29" i="19"/>
  <c r="H29" i="19"/>
  <c r="J32" i="19"/>
  <c r="I32" i="19"/>
  <c r="H32" i="19"/>
  <c r="J39" i="19"/>
  <c r="I39" i="19"/>
  <c r="H39" i="19"/>
  <c r="J42" i="19"/>
  <c r="I42" i="19"/>
  <c r="H42" i="19"/>
  <c r="J45" i="19"/>
  <c r="I45" i="19"/>
  <c r="H45" i="19"/>
  <c r="J48" i="19"/>
  <c r="I48" i="19"/>
  <c r="H48" i="19"/>
  <c r="J52" i="19"/>
  <c r="I52" i="19"/>
  <c r="G51" i="19"/>
  <c r="H52" i="19"/>
  <c r="J55" i="19"/>
  <c r="I55" i="19"/>
  <c r="G63" i="19"/>
  <c r="H55" i="19"/>
  <c r="J58" i="19"/>
  <c r="I58" i="19"/>
  <c r="H58" i="19"/>
  <c r="J61" i="19"/>
  <c r="I61" i="19"/>
  <c r="H61" i="19"/>
  <c r="J68" i="19"/>
  <c r="I68" i="19"/>
  <c r="H68" i="19"/>
  <c r="J71" i="19"/>
  <c r="I71" i="19"/>
  <c r="H71" i="19"/>
  <c r="J74" i="19"/>
  <c r="I74" i="19"/>
  <c r="H74" i="19"/>
  <c r="J81" i="19"/>
  <c r="I81" i="19"/>
  <c r="H81" i="19"/>
  <c r="J84" i="19"/>
  <c r="I84" i="19"/>
  <c r="H84" i="19"/>
  <c r="J87" i="19"/>
  <c r="I87" i="19"/>
  <c r="H87" i="19"/>
  <c r="J90" i="19"/>
  <c r="I90" i="19"/>
  <c r="H90" i="19"/>
  <c r="J94" i="19"/>
  <c r="I94" i="19"/>
  <c r="G93" i="19"/>
  <c r="H94" i="19"/>
  <c r="J97" i="19"/>
  <c r="I97" i="19"/>
  <c r="G105" i="19"/>
  <c r="H97" i="19"/>
  <c r="J100" i="19"/>
  <c r="I100" i="19"/>
  <c r="H100" i="19"/>
  <c r="J103" i="19"/>
  <c r="I103" i="19"/>
  <c r="H103" i="19"/>
  <c r="J110" i="19"/>
  <c r="I110" i="19"/>
  <c r="H110" i="19"/>
  <c r="J113" i="19"/>
  <c r="I113" i="19"/>
  <c r="H113" i="19"/>
  <c r="J116" i="19"/>
  <c r="I116" i="19"/>
  <c r="H116" i="19"/>
  <c r="J123" i="19"/>
  <c r="I123" i="19"/>
  <c r="H123" i="19"/>
  <c r="J126" i="19"/>
  <c r="I126" i="19"/>
  <c r="H126" i="19"/>
  <c r="J129" i="19"/>
  <c r="I129" i="19"/>
  <c r="H129" i="19"/>
  <c r="J131" i="19"/>
  <c r="I131" i="19"/>
  <c r="H131" i="19"/>
  <c r="J138" i="19"/>
  <c r="I138" i="19"/>
  <c r="H138" i="19"/>
  <c r="J141" i="19"/>
  <c r="I141" i="19"/>
  <c r="H141" i="19"/>
  <c r="J144" i="19"/>
  <c r="I144" i="19"/>
  <c r="H144" i="19"/>
  <c r="J151" i="19"/>
  <c r="I151" i="19"/>
  <c r="H151" i="19"/>
  <c r="J154" i="19"/>
  <c r="I154" i="19"/>
  <c r="H154" i="19"/>
  <c r="J157" i="19"/>
  <c r="I157" i="19"/>
  <c r="H157" i="19"/>
  <c r="J160" i="19"/>
  <c r="I160" i="19"/>
  <c r="H160" i="19"/>
  <c r="J130" i="19"/>
  <c r="H130" i="19"/>
  <c r="I130" i="19"/>
  <c r="I24" i="17"/>
  <c r="J24" i="17"/>
  <c r="H23" i="17"/>
  <c r="I26" i="17"/>
  <c r="J26" i="17"/>
  <c r="I28" i="17"/>
  <c r="J28" i="17"/>
  <c r="I30" i="17"/>
  <c r="J30" i="17"/>
  <c r="I32" i="17"/>
  <c r="J32" i="17"/>
  <c r="I34" i="17"/>
  <c r="J34" i="17"/>
  <c r="I39" i="17"/>
  <c r="J39" i="17"/>
  <c r="I41" i="17"/>
  <c r="H49" i="17"/>
  <c r="J41" i="17"/>
  <c r="I43" i="17"/>
  <c r="J43" i="17"/>
  <c r="K43" i="17"/>
  <c r="I45" i="17"/>
  <c r="J45" i="17"/>
  <c r="I47" i="17"/>
  <c r="J47" i="17"/>
  <c r="K47" i="17"/>
  <c r="I52" i="17"/>
  <c r="J52" i="17"/>
  <c r="H51" i="17"/>
  <c r="I54" i="17"/>
  <c r="J54" i="17"/>
  <c r="I56" i="17"/>
  <c r="J56" i="17"/>
  <c r="I58" i="17"/>
  <c r="J58" i="17"/>
  <c r="I60" i="17"/>
  <c r="J60" i="17"/>
  <c r="I62" i="17"/>
  <c r="J62" i="17"/>
  <c r="I67" i="17"/>
  <c r="J67" i="17"/>
  <c r="I69" i="17"/>
  <c r="H77" i="17"/>
  <c r="J69" i="17"/>
  <c r="I71" i="17"/>
  <c r="J71" i="17"/>
  <c r="I73" i="17"/>
  <c r="J73" i="17"/>
  <c r="I75" i="17"/>
  <c r="J75" i="17"/>
  <c r="I80" i="17"/>
  <c r="J80" i="17"/>
  <c r="H79" i="17"/>
  <c r="I82" i="17"/>
  <c r="J82" i="17"/>
  <c r="K82" i="17"/>
  <c r="I84" i="17"/>
  <c r="J84" i="17"/>
  <c r="I86" i="17"/>
  <c r="J86" i="17"/>
  <c r="K86" i="17"/>
  <c r="I88" i="17"/>
  <c r="J88" i="17"/>
  <c r="I90" i="17"/>
  <c r="J90" i="17"/>
  <c r="K90" i="17"/>
  <c r="I95" i="17"/>
  <c r="J95" i="17"/>
  <c r="I97" i="17"/>
  <c r="H105" i="17"/>
  <c r="J97" i="17"/>
  <c r="I99" i="17"/>
  <c r="J99" i="17"/>
  <c r="I101" i="17"/>
  <c r="J101" i="17"/>
  <c r="I103" i="17"/>
  <c r="J103" i="17"/>
  <c r="I108" i="17"/>
  <c r="J108" i="17"/>
  <c r="H107" i="17"/>
  <c r="I110" i="17"/>
  <c r="J110" i="17"/>
  <c r="I112" i="17"/>
  <c r="J112" i="17"/>
  <c r="I114" i="17"/>
  <c r="J114" i="17"/>
  <c r="I116" i="17"/>
  <c r="J116" i="17"/>
  <c r="I118" i="17"/>
  <c r="J118" i="17"/>
  <c r="I123" i="17"/>
  <c r="J123" i="17"/>
  <c r="I125" i="17"/>
  <c r="H133" i="17"/>
  <c r="J125" i="17"/>
  <c r="K125" i="17"/>
  <c r="I127" i="17"/>
  <c r="J127" i="17"/>
  <c r="I129" i="17"/>
  <c r="J129" i="17"/>
  <c r="K129" i="17"/>
  <c r="I131" i="17"/>
  <c r="J131" i="17"/>
  <c r="I136" i="17"/>
  <c r="J136" i="17"/>
  <c r="H135" i="17"/>
  <c r="I138" i="17"/>
  <c r="J138" i="17"/>
  <c r="I140" i="17"/>
  <c r="J140" i="17"/>
  <c r="I142" i="17"/>
  <c r="J142" i="17"/>
  <c r="I144" i="17"/>
  <c r="J144" i="17"/>
  <c r="I146" i="17"/>
  <c r="J146" i="17"/>
  <c r="I151" i="17"/>
  <c r="J151" i="17"/>
  <c r="I153" i="17"/>
  <c r="H161" i="17"/>
  <c r="J153" i="17"/>
  <c r="I155" i="17"/>
  <c r="J155" i="17"/>
  <c r="I157" i="17"/>
  <c r="J157" i="17"/>
  <c r="I159" i="17"/>
  <c r="J159" i="17"/>
  <c r="J158" i="15"/>
  <c r="I158" i="15"/>
  <c r="M158" i="15"/>
  <c r="L158" i="15"/>
  <c r="K158" i="15"/>
  <c r="J152" i="15"/>
  <c r="I152" i="15"/>
  <c r="M152" i="15"/>
  <c r="K152" i="15"/>
  <c r="L152" i="15"/>
  <c r="J145" i="15"/>
  <c r="I145" i="15"/>
  <c r="M145" i="15"/>
  <c r="L145" i="15"/>
  <c r="K145" i="15"/>
  <c r="J108" i="19"/>
  <c r="I108" i="19"/>
  <c r="G107" i="19"/>
  <c r="H108" i="19"/>
  <c r="J20" i="19"/>
  <c r="I20" i="19"/>
  <c r="H20" i="19"/>
  <c r="J158" i="17"/>
  <c r="I158" i="17"/>
  <c r="J156" i="17"/>
  <c r="I156" i="17"/>
  <c r="J154" i="17"/>
  <c r="I154" i="17"/>
  <c r="J152" i="17"/>
  <c r="I152" i="17"/>
  <c r="H149" i="17"/>
  <c r="J150" i="17"/>
  <c r="I150" i="17"/>
  <c r="J145" i="17"/>
  <c r="I145" i="17"/>
  <c r="J143" i="17"/>
  <c r="I143" i="17"/>
  <c r="J141" i="17"/>
  <c r="I141" i="17"/>
  <c r="J139" i="17"/>
  <c r="I139" i="17"/>
  <c r="H147" i="17"/>
  <c r="K137" i="17"/>
  <c r="J137" i="17"/>
  <c r="I137" i="17"/>
  <c r="J132" i="17"/>
  <c r="I132" i="17"/>
  <c r="K130" i="17"/>
  <c r="J130" i="17"/>
  <c r="I130" i="17"/>
  <c r="J128" i="17"/>
  <c r="I128" i="17"/>
  <c r="K126" i="17"/>
  <c r="J126" i="17"/>
  <c r="I126" i="17"/>
  <c r="J124" i="17"/>
  <c r="I124" i="17"/>
  <c r="K122" i="17"/>
  <c r="H121" i="17"/>
  <c r="J122" i="17"/>
  <c r="I122" i="17"/>
  <c r="J117" i="17"/>
  <c r="I117" i="17"/>
  <c r="J115" i="17"/>
  <c r="I115" i="17"/>
  <c r="J113" i="17"/>
  <c r="I113" i="17"/>
  <c r="J111" i="17"/>
  <c r="I111" i="17"/>
  <c r="H119" i="17"/>
  <c r="J109" i="17"/>
  <c r="I109" i="17"/>
  <c r="J104" i="17"/>
  <c r="I104" i="17"/>
  <c r="J102" i="17"/>
  <c r="I102" i="17"/>
  <c r="J100" i="17"/>
  <c r="I100" i="17"/>
  <c r="J98" i="17"/>
  <c r="I98" i="17"/>
  <c r="J96" i="17"/>
  <c r="I96" i="17"/>
  <c r="H93" i="17"/>
  <c r="J94" i="17"/>
  <c r="I94" i="17"/>
  <c r="J89" i="17"/>
  <c r="I89" i="17"/>
  <c r="K87" i="17"/>
  <c r="J87" i="17"/>
  <c r="I87" i="17"/>
  <c r="J85" i="17"/>
  <c r="I85" i="17"/>
  <c r="K83" i="17"/>
  <c r="J83" i="17"/>
  <c r="I83" i="17"/>
  <c r="H91" i="17"/>
  <c r="J81" i="17"/>
  <c r="I81" i="17"/>
  <c r="J76" i="17"/>
  <c r="I76" i="17"/>
  <c r="J74" i="17"/>
  <c r="I74" i="17"/>
  <c r="J72" i="17"/>
  <c r="I72" i="17"/>
  <c r="J70" i="17"/>
  <c r="I70" i="17"/>
  <c r="J68" i="17"/>
  <c r="I68" i="17"/>
  <c r="H65" i="17"/>
  <c r="J66" i="17"/>
  <c r="I66" i="17"/>
  <c r="J61" i="17"/>
  <c r="I61" i="17"/>
  <c r="J59" i="17"/>
  <c r="I59" i="17"/>
  <c r="J57" i="17"/>
  <c r="I57" i="17"/>
  <c r="J55" i="17"/>
  <c r="I55" i="17"/>
  <c r="H63" i="17"/>
  <c r="J53" i="17"/>
  <c r="I53" i="17"/>
  <c r="K48" i="17"/>
  <c r="J48" i="17"/>
  <c r="I48" i="17"/>
  <c r="J46" i="17"/>
  <c r="I46" i="17"/>
  <c r="K44" i="17"/>
  <c r="J44" i="17"/>
  <c r="I44" i="17"/>
  <c r="J42" i="17"/>
  <c r="I42" i="17"/>
  <c r="K40" i="17"/>
  <c r="J40" i="17"/>
  <c r="I40" i="17"/>
  <c r="H37" i="17"/>
  <c r="J38" i="17"/>
  <c r="I38" i="17"/>
  <c r="J33" i="17"/>
  <c r="I33" i="17"/>
  <c r="J31" i="17"/>
  <c r="I31" i="17"/>
  <c r="J29" i="17"/>
  <c r="I29" i="17"/>
  <c r="J27" i="17"/>
  <c r="I27" i="17"/>
  <c r="H35" i="17"/>
  <c r="J25" i="17"/>
  <c r="I25" i="17"/>
  <c r="K20" i="17"/>
  <c r="J20" i="17"/>
  <c r="I20" i="17"/>
  <c r="J19" i="17"/>
  <c r="I19" i="17"/>
  <c r="K18" i="17"/>
  <c r="J18" i="17"/>
  <c r="I18" i="17"/>
  <c r="J17" i="17"/>
  <c r="I17" i="17"/>
  <c r="K16" i="17"/>
  <c r="J16" i="17"/>
  <c r="I16" i="17"/>
  <c r="J15" i="17"/>
  <c r="I15" i="17"/>
  <c r="K14" i="17"/>
  <c r="J14" i="17"/>
  <c r="I14" i="17"/>
  <c r="J13" i="17"/>
  <c r="I13" i="17"/>
  <c r="H21" i="17"/>
  <c r="K12" i="17"/>
  <c r="J12" i="17"/>
  <c r="I12" i="17"/>
  <c r="J11" i="17"/>
  <c r="I11" i="17"/>
  <c r="K10" i="17"/>
  <c r="J10" i="17"/>
  <c r="I10" i="17"/>
  <c r="H9" i="17"/>
  <c r="K160" i="17" s="1"/>
  <c r="K159" i="15"/>
  <c r="J159" i="15"/>
  <c r="I159" i="15"/>
  <c r="M159" i="15"/>
  <c r="L159" i="15"/>
  <c r="K153" i="15"/>
  <c r="J153" i="15"/>
  <c r="I153" i="15"/>
  <c r="M153" i="15"/>
  <c r="L153" i="15"/>
  <c r="H161" i="15"/>
  <c r="K146" i="15"/>
  <c r="J146" i="15"/>
  <c r="I146" i="15"/>
  <c r="L146" i="15"/>
  <c r="M146" i="15"/>
  <c r="K140" i="15"/>
  <c r="J140" i="15"/>
  <c r="I140" i="15"/>
  <c r="M140" i="15"/>
  <c r="L140" i="15"/>
  <c r="K127" i="15"/>
  <c r="J127" i="15"/>
  <c r="I127" i="15"/>
  <c r="M127" i="15"/>
  <c r="L127" i="15"/>
  <c r="K121" i="15"/>
  <c r="J121" i="15"/>
  <c r="I121" i="15"/>
  <c r="M121" i="15"/>
  <c r="L121" i="15"/>
  <c r="K114" i="15"/>
  <c r="J114" i="15"/>
  <c r="I114" i="15"/>
  <c r="M114" i="15"/>
  <c r="L114" i="15"/>
  <c r="K108" i="15"/>
  <c r="J108" i="15"/>
  <c r="I108" i="15"/>
  <c r="L108" i="15"/>
  <c r="M108" i="15"/>
  <c r="K101" i="15"/>
  <c r="J101" i="15"/>
  <c r="I101" i="15"/>
  <c r="M101" i="15"/>
  <c r="L101" i="15"/>
  <c r="K95" i="15"/>
  <c r="J95" i="15"/>
  <c r="I95" i="15"/>
  <c r="M95" i="15"/>
  <c r="L95" i="15"/>
  <c r="K88" i="15"/>
  <c r="J88" i="15"/>
  <c r="I88" i="15"/>
  <c r="L88" i="15"/>
  <c r="M88" i="15"/>
  <c r="K82" i="15"/>
  <c r="J82" i="15"/>
  <c r="I82" i="15"/>
  <c r="M82" i="15"/>
  <c r="L82" i="15"/>
  <c r="K75" i="15"/>
  <c r="J75" i="15"/>
  <c r="I75" i="15"/>
  <c r="M75" i="15"/>
  <c r="L75" i="15"/>
  <c r="K69" i="15"/>
  <c r="J69" i="15"/>
  <c r="I69" i="15"/>
  <c r="H77" i="15"/>
  <c r="M69" i="15"/>
  <c r="L69" i="15"/>
  <c r="K62" i="15"/>
  <c r="J62" i="15"/>
  <c r="I62" i="15"/>
  <c r="M62" i="15"/>
  <c r="L62" i="15"/>
  <c r="K56" i="15"/>
  <c r="J56" i="15"/>
  <c r="I56" i="15"/>
  <c r="M56" i="15"/>
  <c r="L56" i="15"/>
  <c r="K43" i="15"/>
  <c r="J43" i="15"/>
  <c r="I43" i="15"/>
  <c r="M43" i="15"/>
  <c r="L43" i="15"/>
  <c r="K37" i="15"/>
  <c r="J37" i="15"/>
  <c r="I37" i="15"/>
  <c r="M37" i="15"/>
  <c r="L37" i="15"/>
  <c r="K30" i="15"/>
  <c r="J30" i="15"/>
  <c r="I30" i="15"/>
  <c r="L30" i="15"/>
  <c r="M30" i="15"/>
  <c r="K24" i="15"/>
  <c r="J24" i="15"/>
  <c r="I24" i="15"/>
  <c r="M24" i="15"/>
  <c r="L24" i="15"/>
  <c r="Y19" i="15"/>
  <c r="X19" i="15"/>
  <c r="W19" i="15"/>
  <c r="Y16" i="15"/>
  <c r="X16" i="15"/>
  <c r="W16" i="15"/>
  <c r="Y13" i="15"/>
  <c r="X13" i="15"/>
  <c r="W13" i="15"/>
  <c r="V21" i="15"/>
  <c r="Y10" i="15"/>
  <c r="X10" i="15"/>
  <c r="W10" i="15"/>
  <c r="K10" i="16"/>
  <c r="J10" i="16"/>
  <c r="I10" i="16"/>
  <c r="H9" i="16"/>
  <c r="K11" i="16"/>
  <c r="J11" i="16"/>
  <c r="I11" i="16"/>
  <c r="K12" i="16"/>
  <c r="J12" i="16"/>
  <c r="I12" i="16"/>
  <c r="K13" i="16"/>
  <c r="J13" i="16"/>
  <c r="I13" i="16"/>
  <c r="H21" i="16"/>
  <c r="K14" i="16"/>
  <c r="J14" i="16"/>
  <c r="I14" i="16"/>
  <c r="K15" i="16"/>
  <c r="J15" i="16"/>
  <c r="I15" i="16"/>
  <c r="K16" i="16"/>
  <c r="J16" i="16"/>
  <c r="I16" i="16"/>
  <c r="K17" i="16"/>
  <c r="J17" i="16"/>
  <c r="I17" i="16"/>
  <c r="K18" i="16"/>
  <c r="J18" i="16"/>
  <c r="I18" i="16"/>
  <c r="K19" i="16"/>
  <c r="J19" i="16"/>
  <c r="I19" i="16"/>
  <c r="K20" i="16"/>
  <c r="J20" i="16"/>
  <c r="I20" i="16"/>
  <c r="K25" i="16"/>
  <c r="J25" i="16"/>
  <c r="I25" i="16"/>
  <c r="K27" i="16"/>
  <c r="J27" i="16"/>
  <c r="I27" i="16"/>
  <c r="H35" i="16"/>
  <c r="K29" i="16"/>
  <c r="J29" i="16"/>
  <c r="I29" i="16"/>
  <c r="K31" i="16"/>
  <c r="J31" i="16"/>
  <c r="I31" i="16"/>
  <c r="K33" i="16"/>
  <c r="J33" i="16"/>
  <c r="I33" i="16"/>
  <c r="K38" i="16"/>
  <c r="H37" i="16"/>
  <c r="J38" i="16"/>
  <c r="I38" i="16"/>
  <c r="K40" i="16"/>
  <c r="J40" i="16"/>
  <c r="I40" i="16"/>
  <c r="K42" i="16"/>
  <c r="J42" i="16"/>
  <c r="I42" i="16"/>
  <c r="K44" i="16"/>
  <c r="J44" i="16"/>
  <c r="I44" i="16"/>
  <c r="K46" i="16"/>
  <c r="J46" i="16"/>
  <c r="I46" i="16"/>
  <c r="K48" i="16"/>
  <c r="J48" i="16"/>
  <c r="I48" i="16"/>
  <c r="K53" i="16"/>
  <c r="J53" i="16"/>
  <c r="I53" i="16"/>
  <c r="K55" i="16"/>
  <c r="J55" i="16"/>
  <c r="I55" i="16"/>
  <c r="H63" i="16"/>
  <c r="K57" i="16"/>
  <c r="J57" i="16"/>
  <c r="I57" i="16"/>
  <c r="K59" i="16"/>
  <c r="J59" i="16"/>
  <c r="I59" i="16"/>
  <c r="K61" i="16"/>
  <c r="J61" i="16"/>
  <c r="I61" i="16"/>
  <c r="K66" i="16"/>
  <c r="H65" i="16"/>
  <c r="J66" i="16"/>
  <c r="I66" i="16"/>
  <c r="K68" i="16"/>
  <c r="J68" i="16"/>
  <c r="I68" i="16"/>
  <c r="K70" i="16"/>
  <c r="J70" i="16"/>
  <c r="I70" i="16"/>
  <c r="K72" i="16"/>
  <c r="J72" i="16"/>
  <c r="I72" i="16"/>
  <c r="K74" i="16"/>
  <c r="J74" i="16"/>
  <c r="I74" i="16"/>
  <c r="K76" i="16"/>
  <c r="J76" i="16"/>
  <c r="I76" i="16"/>
  <c r="K81" i="16"/>
  <c r="J81" i="16"/>
  <c r="I81" i="16"/>
  <c r="H91" i="16"/>
  <c r="K83" i="16"/>
  <c r="J83" i="16"/>
  <c r="I83" i="16"/>
  <c r="K85" i="16"/>
  <c r="J85" i="16"/>
  <c r="I85" i="16"/>
  <c r="K87" i="16"/>
  <c r="J87" i="16"/>
  <c r="I87" i="16"/>
  <c r="I89" i="16"/>
  <c r="K89" i="16"/>
  <c r="J89" i="16"/>
  <c r="K24" i="16"/>
  <c r="H23" i="16"/>
  <c r="J24" i="16"/>
  <c r="I24" i="16"/>
  <c r="K26" i="16"/>
  <c r="J26" i="16"/>
  <c r="I26" i="16"/>
  <c r="K28" i="16"/>
  <c r="J28" i="16"/>
  <c r="I28" i="16"/>
  <c r="K30" i="16"/>
  <c r="J30" i="16"/>
  <c r="I30" i="16"/>
  <c r="K32" i="16"/>
  <c r="J32" i="16"/>
  <c r="I32" i="16"/>
  <c r="K34" i="16"/>
  <c r="J34" i="16"/>
  <c r="I34" i="16"/>
  <c r="K39" i="16"/>
  <c r="J39" i="16"/>
  <c r="I39" i="16"/>
  <c r="H49" i="16"/>
  <c r="K41" i="16"/>
  <c r="J41" i="16"/>
  <c r="I41" i="16"/>
  <c r="K43" i="16"/>
  <c r="J43" i="16"/>
  <c r="I43" i="16"/>
  <c r="K45" i="16"/>
  <c r="J45" i="16"/>
  <c r="I45" i="16"/>
  <c r="K47" i="16"/>
  <c r="J47" i="16"/>
  <c r="I47" i="16"/>
  <c r="K52" i="16"/>
  <c r="H51" i="16"/>
  <c r="J52" i="16"/>
  <c r="I52" i="16"/>
  <c r="K54" i="16"/>
  <c r="J54" i="16"/>
  <c r="I54" i="16"/>
  <c r="K56" i="16"/>
  <c r="J56" i="16"/>
  <c r="I56" i="16"/>
  <c r="K58" i="16"/>
  <c r="J58" i="16"/>
  <c r="I58" i="16"/>
  <c r="K60" i="16"/>
  <c r="J60" i="16"/>
  <c r="I60" i="16"/>
  <c r="K62" i="16"/>
  <c r="J62" i="16"/>
  <c r="I62" i="16"/>
  <c r="K67" i="16"/>
  <c r="J67" i="16"/>
  <c r="I67" i="16"/>
  <c r="H77" i="16"/>
  <c r="K69" i="16"/>
  <c r="J69" i="16"/>
  <c r="I69" i="16"/>
  <c r="K71" i="16"/>
  <c r="J71" i="16"/>
  <c r="I71" i="16"/>
  <c r="K73" i="16"/>
  <c r="J73" i="16"/>
  <c r="I73" i="16"/>
  <c r="K75" i="16"/>
  <c r="J75" i="16"/>
  <c r="I75" i="16"/>
  <c r="K80" i="16"/>
  <c r="H79" i="16"/>
  <c r="J80" i="16"/>
  <c r="I80" i="16"/>
  <c r="K82" i="16"/>
  <c r="J82" i="16"/>
  <c r="I82" i="16"/>
  <c r="K84" i="16"/>
  <c r="J84" i="16"/>
  <c r="I84" i="16"/>
  <c r="K86" i="16"/>
  <c r="J86" i="16"/>
  <c r="I86" i="16"/>
  <c r="K88" i="16"/>
  <c r="J88" i="16"/>
  <c r="I88" i="16"/>
  <c r="I94" i="16"/>
  <c r="K94" i="16"/>
  <c r="J94" i="16"/>
  <c r="H93" i="16"/>
  <c r="I96" i="16"/>
  <c r="K96" i="16"/>
  <c r="J96" i="16"/>
  <c r="I98" i="16"/>
  <c r="K98" i="16"/>
  <c r="J98" i="16"/>
  <c r="I100" i="16"/>
  <c r="K100" i="16"/>
  <c r="J100" i="16"/>
  <c r="I102" i="16"/>
  <c r="K102" i="16"/>
  <c r="J102" i="16"/>
  <c r="I104" i="16"/>
  <c r="K104" i="16"/>
  <c r="J104" i="16"/>
  <c r="I109" i="16"/>
  <c r="K109" i="16"/>
  <c r="J109" i="16"/>
  <c r="I111" i="16"/>
  <c r="H119" i="16"/>
  <c r="K111" i="16"/>
  <c r="J111" i="16"/>
  <c r="I113" i="16"/>
  <c r="K113" i="16"/>
  <c r="J113" i="16"/>
  <c r="I115" i="16"/>
  <c r="K115" i="16"/>
  <c r="J115" i="16"/>
  <c r="I117" i="16"/>
  <c r="K117" i="16"/>
  <c r="J117" i="16"/>
  <c r="I122" i="16"/>
  <c r="K122" i="16"/>
  <c r="J122" i="16"/>
  <c r="H121" i="16"/>
  <c r="I124" i="16"/>
  <c r="K124" i="16"/>
  <c r="J124" i="16"/>
  <c r="I126" i="16"/>
  <c r="K126" i="16"/>
  <c r="J126" i="16"/>
  <c r="I128" i="16"/>
  <c r="K128" i="16"/>
  <c r="J128" i="16"/>
  <c r="I130" i="16"/>
  <c r="K130" i="16"/>
  <c r="J130" i="16"/>
  <c r="I132" i="16"/>
  <c r="K132" i="16"/>
  <c r="J132" i="16"/>
  <c r="I137" i="16"/>
  <c r="K137" i="16"/>
  <c r="J137" i="16"/>
  <c r="I139" i="16"/>
  <c r="H147" i="16"/>
  <c r="K139" i="16"/>
  <c r="J139" i="16"/>
  <c r="I141" i="16"/>
  <c r="K141" i="16"/>
  <c r="J141" i="16"/>
  <c r="I143" i="16"/>
  <c r="K143" i="16"/>
  <c r="J143" i="16"/>
  <c r="I145" i="16"/>
  <c r="K145" i="16"/>
  <c r="J145" i="16"/>
  <c r="I150" i="16"/>
  <c r="K150" i="16"/>
  <c r="J150" i="16"/>
  <c r="H149" i="16"/>
  <c r="I152" i="16"/>
  <c r="K152" i="16"/>
  <c r="J152" i="16"/>
  <c r="I154" i="16"/>
  <c r="K154" i="16"/>
  <c r="J154" i="16"/>
  <c r="I156" i="16"/>
  <c r="K156" i="16"/>
  <c r="J156" i="16"/>
  <c r="I158" i="16"/>
  <c r="K158" i="16"/>
  <c r="J158" i="16"/>
  <c r="I160" i="16"/>
  <c r="K160" i="16"/>
  <c r="J160" i="16"/>
  <c r="K17" i="12"/>
  <c r="J17" i="12"/>
  <c r="I17" i="12"/>
  <c r="L17" i="12"/>
  <c r="K20" i="12"/>
  <c r="J20" i="12"/>
  <c r="I20" i="12"/>
  <c r="L20" i="12"/>
  <c r="K23" i="12"/>
  <c r="J23" i="12"/>
  <c r="I23" i="12"/>
  <c r="L23" i="12"/>
  <c r="K26" i="12"/>
  <c r="J26" i="12"/>
  <c r="I26" i="12"/>
  <c r="L26" i="12"/>
  <c r="K29" i="12"/>
  <c r="J29" i="12"/>
  <c r="I29" i="12"/>
  <c r="L29" i="12"/>
  <c r="K32" i="12"/>
  <c r="J32" i="12"/>
  <c r="I32" i="12"/>
  <c r="L32" i="12"/>
  <c r="K35" i="12"/>
  <c r="J35" i="12"/>
  <c r="I35" i="12"/>
  <c r="L35" i="12"/>
  <c r="K38" i="12"/>
  <c r="J38" i="12"/>
  <c r="I38" i="12"/>
  <c r="L38" i="12"/>
  <c r="K41" i="12"/>
  <c r="J41" i="12"/>
  <c r="I41" i="12"/>
  <c r="L41" i="12"/>
  <c r="K44" i="12"/>
  <c r="J44" i="12"/>
  <c r="I44" i="12"/>
  <c r="L44" i="12"/>
  <c r="K47" i="12"/>
  <c r="J47" i="12"/>
  <c r="I47" i="12"/>
  <c r="L47" i="12"/>
  <c r="K50" i="12"/>
  <c r="J50" i="12"/>
  <c r="I50" i="12"/>
  <c r="L50" i="12"/>
  <c r="I11" i="12"/>
  <c r="L11" i="12"/>
  <c r="K11" i="12"/>
  <c r="J11" i="12"/>
  <c r="I13" i="12"/>
  <c r="L13" i="12"/>
  <c r="K13" i="12"/>
  <c r="J13" i="12"/>
  <c r="I15" i="12"/>
  <c r="L15" i="12"/>
  <c r="K15" i="12"/>
  <c r="J15" i="12"/>
  <c r="I18" i="12"/>
  <c r="L18" i="12"/>
  <c r="K18" i="12"/>
  <c r="J18" i="12"/>
  <c r="I21" i="12"/>
  <c r="L21" i="12"/>
  <c r="K21" i="12"/>
  <c r="J21" i="12"/>
  <c r="I24" i="12"/>
  <c r="L24" i="12"/>
  <c r="K24" i="12"/>
  <c r="J24" i="12"/>
  <c r="I27" i="12"/>
  <c r="L27" i="12"/>
  <c r="K27" i="12"/>
  <c r="J27" i="12"/>
  <c r="I30" i="12"/>
  <c r="L30" i="12"/>
  <c r="K30" i="12"/>
  <c r="J30" i="12"/>
  <c r="I33" i="12"/>
  <c r="L33" i="12"/>
  <c r="K33" i="12"/>
  <c r="J33" i="12"/>
  <c r="I36" i="12"/>
  <c r="L36" i="12"/>
  <c r="K36" i="12"/>
  <c r="J36" i="12"/>
  <c r="I39" i="12"/>
  <c r="L39" i="12"/>
  <c r="K39" i="12"/>
  <c r="J39" i="12"/>
  <c r="I42" i="12"/>
  <c r="L42" i="12"/>
  <c r="K42" i="12"/>
  <c r="J42" i="12"/>
  <c r="I45" i="12"/>
  <c r="L45" i="12"/>
  <c r="K45" i="12"/>
  <c r="J45" i="12"/>
  <c r="I48" i="12"/>
  <c r="L48" i="12"/>
  <c r="K48" i="12"/>
  <c r="J48" i="12"/>
  <c r="I51" i="12"/>
  <c r="L51" i="12"/>
  <c r="K51" i="12"/>
  <c r="J51" i="12"/>
  <c r="H53" i="12"/>
  <c r="K6" i="12"/>
  <c r="L6" i="12"/>
  <c r="J6" i="12"/>
  <c r="I6" i="12"/>
  <c r="H56" i="12"/>
  <c r="K9" i="12"/>
  <c r="L9" i="12"/>
  <c r="I9" i="12"/>
  <c r="J9" i="12"/>
  <c r="N74" i="8"/>
  <c r="N84" i="8"/>
  <c r="N83" i="8"/>
  <c r="N82" i="8"/>
  <c r="N81" i="8"/>
  <c r="N80" i="8"/>
  <c r="N79" i="8"/>
  <c r="N78" i="8"/>
  <c r="N77" i="8"/>
  <c r="N76" i="8"/>
  <c r="N75" i="8"/>
  <c r="K43" i="6"/>
  <c r="I43" i="6"/>
  <c r="J43" i="6"/>
  <c r="K37" i="6"/>
  <c r="J37" i="6"/>
  <c r="I37" i="6"/>
  <c r="K31" i="6"/>
  <c r="J31" i="6"/>
  <c r="I31" i="6"/>
  <c r="K25" i="6"/>
  <c r="I25" i="6"/>
  <c r="J25" i="6"/>
  <c r="K19" i="6"/>
  <c r="J19" i="6"/>
  <c r="I19" i="6"/>
  <c r="K12" i="6"/>
  <c r="J12" i="6"/>
  <c r="I12" i="6"/>
  <c r="W50" i="5"/>
  <c r="V50" i="5"/>
  <c r="U50" i="5"/>
  <c r="T50" i="5"/>
  <c r="S50" i="5"/>
  <c r="W48" i="5"/>
  <c r="V48" i="5"/>
  <c r="U48" i="5"/>
  <c r="T48" i="5"/>
  <c r="S48" i="5"/>
  <c r="W46" i="5"/>
  <c r="V46" i="5"/>
  <c r="U46" i="5"/>
  <c r="S46" i="5"/>
  <c r="T46" i="5"/>
  <c r="W44" i="5"/>
  <c r="V44" i="5"/>
  <c r="U44" i="5"/>
  <c r="T44" i="5"/>
  <c r="S44" i="5"/>
  <c r="W42" i="5"/>
  <c r="V42" i="5"/>
  <c r="U42" i="5"/>
  <c r="S42" i="5"/>
  <c r="T42" i="5"/>
  <c r="W40" i="5"/>
  <c r="V40" i="5"/>
  <c r="U40" i="5"/>
  <c r="S40" i="5"/>
  <c r="T40" i="5"/>
  <c r="W38" i="5"/>
  <c r="V38" i="5"/>
  <c r="U38" i="5"/>
  <c r="T38" i="5"/>
  <c r="S38" i="5"/>
  <c r="W36" i="5"/>
  <c r="V36" i="5"/>
  <c r="U36" i="5"/>
  <c r="T36" i="5"/>
  <c r="S36" i="5"/>
  <c r="W34" i="5"/>
  <c r="V34" i="5"/>
  <c r="U34" i="5"/>
  <c r="S34" i="5"/>
  <c r="T34" i="5"/>
  <c r="W32" i="5"/>
  <c r="V32" i="5"/>
  <c r="U32" i="5"/>
  <c r="T32" i="5"/>
  <c r="S32" i="5"/>
  <c r="W30" i="5"/>
  <c r="V30" i="5"/>
  <c r="U30" i="5"/>
  <c r="S30" i="5"/>
  <c r="T30" i="5"/>
  <c r="W28" i="5"/>
  <c r="V28" i="5"/>
  <c r="U28" i="5"/>
  <c r="S28" i="5"/>
  <c r="T28" i="5"/>
  <c r="W26" i="5"/>
  <c r="V26" i="5"/>
  <c r="U26" i="5"/>
  <c r="T26" i="5"/>
  <c r="S26" i="5"/>
  <c r="W24" i="5"/>
  <c r="V24" i="5"/>
  <c r="U24" i="5"/>
  <c r="S24" i="5"/>
  <c r="T24" i="5"/>
  <c r="W22" i="5"/>
  <c r="V22" i="5"/>
  <c r="U22" i="5"/>
  <c r="S22" i="5"/>
  <c r="T22" i="5"/>
  <c r="W20" i="5"/>
  <c r="V20" i="5"/>
  <c r="U20" i="5"/>
  <c r="T20" i="5"/>
  <c r="S20" i="5"/>
  <c r="W18" i="5"/>
  <c r="V18" i="5"/>
  <c r="U18" i="5"/>
  <c r="S18" i="5"/>
  <c r="T18" i="5"/>
  <c r="H196" i="3"/>
  <c r="F194" i="3"/>
  <c r="H193" i="3"/>
  <c r="F191" i="3"/>
  <c r="H190" i="3"/>
  <c r="F188" i="3"/>
  <c r="H187" i="3"/>
  <c r="F123" i="3"/>
  <c r="F120" i="3"/>
  <c r="F117" i="3"/>
  <c r="F114" i="3"/>
  <c r="K153" i="16"/>
  <c r="J153" i="16"/>
  <c r="I153" i="16"/>
  <c r="H161" i="16"/>
  <c r="K146" i="16"/>
  <c r="J146" i="16"/>
  <c r="I146" i="16"/>
  <c r="K140" i="16"/>
  <c r="J140" i="16"/>
  <c r="I140" i="16"/>
  <c r="K127" i="16"/>
  <c r="J127" i="16"/>
  <c r="I127" i="16"/>
  <c r="K114" i="16"/>
  <c r="J114" i="16"/>
  <c r="I114" i="16"/>
  <c r="K108" i="16"/>
  <c r="H107" i="16"/>
  <c r="J108" i="16"/>
  <c r="I108" i="16"/>
  <c r="K101" i="16"/>
  <c r="J101" i="16"/>
  <c r="I101" i="16"/>
  <c r="K95" i="16"/>
  <c r="J95" i="16"/>
  <c r="I95" i="16"/>
  <c r="Y18" i="15"/>
  <c r="X18" i="15"/>
  <c r="W18" i="15"/>
  <c r="Y9" i="15"/>
  <c r="X9" i="15"/>
  <c r="W9" i="15"/>
  <c r="T18" i="14"/>
  <c r="S18" i="14"/>
  <c r="T12" i="14"/>
  <c r="S12" i="14"/>
  <c r="S11" i="14"/>
  <c r="T11" i="14"/>
  <c r="S13" i="14"/>
  <c r="T13" i="14"/>
  <c r="S15" i="14"/>
  <c r="R23" i="14"/>
  <c r="T15" i="14"/>
  <c r="S17" i="14"/>
  <c r="T17" i="14"/>
  <c r="S19" i="14"/>
  <c r="T19" i="14"/>
  <c r="S21" i="14"/>
  <c r="T21" i="14"/>
  <c r="L10" i="12"/>
  <c r="K10" i="12"/>
  <c r="I10" i="12"/>
  <c r="J10" i="12"/>
  <c r="L7" i="12"/>
  <c r="H54" i="12"/>
  <c r="K7" i="12"/>
  <c r="I7" i="12"/>
  <c r="J7" i="12"/>
  <c r="I50" i="6"/>
  <c r="K50" i="6"/>
  <c r="J50" i="6"/>
  <c r="I44" i="6"/>
  <c r="K44" i="6"/>
  <c r="J44" i="6"/>
  <c r="I38" i="6"/>
  <c r="K38" i="6"/>
  <c r="J38" i="6"/>
  <c r="I32" i="6"/>
  <c r="K32" i="6"/>
  <c r="J32" i="6"/>
  <c r="S16" i="5"/>
  <c r="W16" i="5"/>
  <c r="V16" i="5"/>
  <c r="U16" i="5"/>
  <c r="T16" i="5"/>
  <c r="S14" i="5"/>
  <c r="W14" i="5"/>
  <c r="V14" i="5"/>
  <c r="U14" i="5"/>
  <c r="T14" i="5"/>
  <c r="S12" i="5"/>
  <c r="W12" i="5"/>
  <c r="V12" i="5"/>
  <c r="T12" i="5"/>
  <c r="U12" i="5"/>
  <c r="S10" i="5"/>
  <c r="W10" i="5"/>
  <c r="V10" i="5"/>
  <c r="U10" i="5"/>
  <c r="T10" i="5"/>
  <c r="S8" i="5"/>
  <c r="W8" i="5"/>
  <c r="V8" i="5"/>
  <c r="U8" i="5"/>
  <c r="T8" i="5"/>
  <c r="G196" i="3"/>
  <c r="G193" i="3"/>
  <c r="G190" i="3"/>
  <c r="G187" i="3"/>
  <c r="J51" i="6"/>
  <c r="I51" i="6"/>
  <c r="K51" i="6"/>
  <c r="J45" i="6"/>
  <c r="I45" i="6"/>
  <c r="K45" i="6"/>
  <c r="J39" i="6"/>
  <c r="I39" i="6"/>
  <c r="K39" i="6"/>
  <c r="J33" i="6"/>
  <c r="I33" i="6"/>
  <c r="K33" i="6"/>
  <c r="J27" i="6"/>
  <c r="I27" i="6"/>
  <c r="K27" i="6"/>
  <c r="J21" i="6"/>
  <c r="I21" i="6"/>
  <c r="K21" i="6"/>
  <c r="J14" i="6"/>
  <c r="I14" i="6"/>
  <c r="K14" i="6"/>
  <c r="J8" i="6"/>
  <c r="I8" i="6"/>
  <c r="K8" i="6"/>
  <c r="F196" i="3"/>
  <c r="H195" i="3"/>
  <c r="F193" i="3"/>
  <c r="H192" i="3"/>
  <c r="F190" i="3"/>
  <c r="H189" i="3"/>
  <c r="F187" i="3"/>
  <c r="H186" i="3"/>
  <c r="F122" i="3"/>
  <c r="F119" i="3"/>
  <c r="F116" i="3"/>
  <c r="F113" i="3"/>
  <c r="K157" i="16"/>
  <c r="J157" i="16"/>
  <c r="I157" i="16"/>
  <c r="K151" i="16"/>
  <c r="J151" i="16"/>
  <c r="I151" i="16"/>
  <c r="K144" i="16"/>
  <c r="J144" i="16"/>
  <c r="I144" i="16"/>
  <c r="K138" i="16"/>
  <c r="J138" i="16"/>
  <c r="I138" i="16"/>
  <c r="K131" i="16"/>
  <c r="J131" i="16"/>
  <c r="I131" i="16"/>
  <c r="K125" i="16"/>
  <c r="J125" i="16"/>
  <c r="I125" i="16"/>
  <c r="H133" i="16"/>
  <c r="K118" i="16"/>
  <c r="J118" i="16"/>
  <c r="I118" i="16"/>
  <c r="K112" i="16"/>
  <c r="J112" i="16"/>
  <c r="I112" i="16"/>
  <c r="K99" i="16"/>
  <c r="J99" i="16"/>
  <c r="I99" i="16"/>
  <c r="Y15" i="15"/>
  <c r="X15" i="15"/>
  <c r="W15" i="15"/>
  <c r="T14" i="14"/>
  <c r="S14" i="14"/>
  <c r="H41" i="10"/>
  <c r="H40" i="10"/>
  <c r="H39" i="10"/>
  <c r="H38" i="10"/>
  <c r="H37" i="10"/>
  <c r="H36" i="10"/>
  <c r="H35" i="10"/>
  <c r="H34" i="10"/>
  <c r="H33" i="10"/>
  <c r="H32" i="10"/>
  <c r="H42" i="10"/>
  <c r="H30" i="10"/>
  <c r="H43" i="10"/>
  <c r="E29" i="10"/>
  <c r="H31" i="10"/>
  <c r="N52" i="8"/>
  <c r="N61" i="8"/>
  <c r="N58" i="8"/>
  <c r="N55" i="8"/>
  <c r="N57" i="8"/>
  <c r="N60" i="8"/>
  <c r="N54" i="8"/>
  <c r="N62" i="8"/>
  <c r="N59" i="8"/>
  <c r="N56" i="8"/>
  <c r="N53" i="8"/>
  <c r="K52" i="6"/>
  <c r="J52" i="6"/>
  <c r="I52" i="6"/>
  <c r="U51" i="5"/>
  <c r="T51" i="5"/>
  <c r="S51" i="5"/>
  <c r="V51" i="5"/>
  <c r="W51" i="5"/>
  <c r="U49" i="5"/>
  <c r="T49" i="5"/>
  <c r="S49" i="5"/>
  <c r="W49" i="5"/>
  <c r="V49" i="5"/>
  <c r="U47" i="5"/>
  <c r="T47" i="5"/>
  <c r="S47" i="5"/>
  <c r="V47" i="5"/>
  <c r="W47" i="5"/>
  <c r="U45" i="5"/>
  <c r="T45" i="5"/>
  <c r="S45" i="5"/>
  <c r="V45" i="5"/>
  <c r="W45" i="5"/>
  <c r="U43" i="5"/>
  <c r="T43" i="5"/>
  <c r="S43" i="5"/>
  <c r="W43" i="5"/>
  <c r="V43" i="5"/>
  <c r="U41" i="5"/>
  <c r="T41" i="5"/>
  <c r="S41" i="5"/>
  <c r="V41" i="5"/>
  <c r="W41" i="5"/>
  <c r="U39" i="5"/>
  <c r="T39" i="5"/>
  <c r="S39" i="5"/>
  <c r="V39" i="5"/>
  <c r="W39" i="5"/>
  <c r="U37" i="5"/>
  <c r="T37" i="5"/>
  <c r="S37" i="5"/>
  <c r="W37" i="5"/>
  <c r="V37" i="5"/>
  <c r="U35" i="5"/>
  <c r="T35" i="5"/>
  <c r="S35" i="5"/>
  <c r="W35" i="5"/>
  <c r="V35" i="5"/>
  <c r="U33" i="5"/>
  <c r="T33" i="5"/>
  <c r="S33" i="5"/>
  <c r="V33" i="5"/>
  <c r="W33" i="5"/>
  <c r="S37" i="6"/>
  <c r="R37" i="6"/>
  <c r="Q37" i="6"/>
  <c r="S19" i="6"/>
  <c r="R19" i="6"/>
  <c r="Q19" i="6"/>
  <c r="L185" i="3"/>
  <c r="K185" i="3"/>
  <c r="J185" i="3"/>
  <c r="I196" i="3"/>
  <c r="E195" i="3"/>
  <c r="I193" i="3"/>
  <c r="L182" i="3"/>
  <c r="J182" i="3"/>
  <c r="K182" i="3"/>
  <c r="E192" i="3"/>
  <c r="L179" i="3"/>
  <c r="I190" i="3"/>
  <c r="K179" i="3"/>
  <c r="J179" i="3"/>
  <c r="E189" i="3"/>
  <c r="I187" i="3"/>
  <c r="L176" i="3"/>
  <c r="J176" i="3"/>
  <c r="K176" i="3"/>
  <c r="E186" i="3"/>
  <c r="L173" i="3"/>
  <c r="K173" i="3"/>
  <c r="J173" i="3"/>
  <c r="L170" i="3"/>
  <c r="K170" i="3"/>
  <c r="J170" i="3"/>
  <c r="L167" i="3"/>
  <c r="K167" i="3"/>
  <c r="J167" i="3"/>
  <c r="L164" i="3"/>
  <c r="K164" i="3"/>
  <c r="J164" i="3"/>
  <c r="L161" i="3"/>
  <c r="J161" i="3"/>
  <c r="K161" i="3"/>
  <c r="L158" i="3"/>
  <c r="K158" i="3"/>
  <c r="J158" i="3"/>
  <c r="L155" i="3"/>
  <c r="K155" i="3"/>
  <c r="J155" i="3"/>
  <c r="J154" i="3"/>
  <c r="L154" i="3"/>
  <c r="K154" i="3"/>
  <c r="J157" i="3"/>
  <c r="L157" i="3"/>
  <c r="K157" i="3"/>
  <c r="J160" i="3"/>
  <c r="L160" i="3"/>
  <c r="K160" i="3"/>
  <c r="J163" i="3"/>
  <c r="L163" i="3"/>
  <c r="K163" i="3"/>
  <c r="J166" i="3"/>
  <c r="L166" i="3"/>
  <c r="K166" i="3"/>
  <c r="J169" i="3"/>
  <c r="L169" i="3"/>
  <c r="K169" i="3"/>
  <c r="J172" i="3"/>
  <c r="L172" i="3"/>
  <c r="K172" i="3"/>
  <c r="J175" i="3"/>
  <c r="I186" i="3"/>
  <c r="L175" i="3"/>
  <c r="K175" i="3"/>
  <c r="I189" i="3"/>
  <c r="J178" i="3"/>
  <c r="L178" i="3"/>
  <c r="K178" i="3"/>
  <c r="J181" i="3"/>
  <c r="I192" i="3"/>
  <c r="L181" i="3"/>
  <c r="K181" i="3"/>
  <c r="I195" i="3"/>
  <c r="J184" i="3"/>
  <c r="L184" i="3"/>
  <c r="K184" i="3"/>
  <c r="J210" i="3"/>
  <c r="K210" i="3"/>
  <c r="L210" i="3"/>
  <c r="J213" i="3"/>
  <c r="K213" i="3"/>
  <c r="L213" i="3"/>
  <c r="J216" i="3"/>
  <c r="K216" i="3"/>
  <c r="L216" i="3"/>
  <c r="L111" i="3"/>
  <c r="J111" i="3"/>
  <c r="K111" i="3"/>
  <c r="I122" i="3"/>
  <c r="E121" i="3"/>
  <c r="I119" i="3"/>
  <c r="L108" i="3"/>
  <c r="K108" i="3"/>
  <c r="J108" i="3"/>
  <c r="E118" i="3"/>
  <c r="L105" i="3"/>
  <c r="K105" i="3"/>
  <c r="J105" i="3"/>
  <c r="I116" i="3"/>
  <c r="E115" i="3"/>
  <c r="I113" i="3"/>
  <c r="L102" i="3"/>
  <c r="K102" i="3"/>
  <c r="J102" i="3"/>
  <c r="L99" i="3"/>
  <c r="K99" i="3"/>
  <c r="J99" i="3"/>
  <c r="L91" i="3"/>
  <c r="J91" i="3"/>
  <c r="K91" i="3"/>
  <c r="L90" i="3"/>
  <c r="J90" i="3"/>
  <c r="K90" i="3"/>
  <c r="L82" i="3"/>
  <c r="J82" i="3"/>
  <c r="K82" i="3"/>
  <c r="L81" i="3"/>
  <c r="K81" i="3"/>
  <c r="J81" i="3"/>
  <c r="G113" i="3"/>
  <c r="G116" i="3"/>
  <c r="G119" i="3"/>
  <c r="G122" i="3"/>
  <c r="J65" i="3"/>
  <c r="L65" i="3"/>
  <c r="K65" i="3"/>
  <c r="K59" i="3"/>
  <c r="J59" i="3"/>
  <c r="J50" i="3"/>
  <c r="K50" i="3"/>
  <c r="K44" i="3"/>
  <c r="J44" i="3"/>
  <c r="K39" i="3"/>
  <c r="L39" i="3"/>
  <c r="J39" i="3"/>
  <c r="J36" i="3"/>
  <c r="L36" i="3"/>
  <c r="K36" i="3"/>
  <c r="K33" i="3"/>
  <c r="L33" i="3"/>
  <c r="J33" i="3"/>
  <c r="K30" i="3"/>
  <c r="J30" i="3"/>
  <c r="L30" i="3"/>
  <c r="K27" i="3"/>
  <c r="L27" i="3"/>
  <c r="J27" i="3"/>
  <c r="J24" i="3"/>
  <c r="L24" i="3"/>
  <c r="K24" i="3"/>
  <c r="K21" i="3"/>
  <c r="L21" i="3"/>
  <c r="J21" i="3"/>
  <c r="K18" i="3"/>
  <c r="J18" i="3"/>
  <c r="L18" i="3"/>
  <c r="K15" i="3"/>
  <c r="L15" i="3"/>
  <c r="J15" i="3"/>
  <c r="J12" i="3"/>
  <c r="L12" i="3"/>
  <c r="K12" i="3"/>
  <c r="K9" i="3"/>
  <c r="L9" i="3"/>
  <c r="J9" i="3"/>
  <c r="K61" i="3"/>
  <c r="J61" i="3"/>
  <c r="K57" i="3"/>
  <c r="J57" i="3"/>
  <c r="G69" i="2"/>
  <c r="K65" i="2"/>
  <c r="J65" i="2"/>
  <c r="I68" i="2"/>
  <c r="L65" i="2"/>
  <c r="K62" i="2"/>
  <c r="J62" i="2"/>
  <c r="L62" i="2"/>
  <c r="K59" i="2"/>
  <c r="L59" i="2"/>
  <c r="J59" i="2"/>
  <c r="H43" i="2"/>
  <c r="L138" i="3"/>
  <c r="K138" i="3"/>
  <c r="J138" i="3"/>
  <c r="L88" i="3"/>
  <c r="J88" i="3"/>
  <c r="K88" i="3"/>
  <c r="F19" i="10"/>
  <c r="F18" i="10"/>
  <c r="F17" i="10"/>
  <c r="F16" i="10"/>
  <c r="F15" i="10"/>
  <c r="F14" i="10"/>
  <c r="F13" i="10"/>
  <c r="F12" i="10"/>
  <c r="F11" i="10"/>
  <c r="F10" i="10"/>
  <c r="C7" i="10"/>
  <c r="F21" i="10"/>
  <c r="F20" i="10"/>
  <c r="F9" i="10"/>
  <c r="F8" i="10"/>
  <c r="L74" i="8"/>
  <c r="L85" i="8"/>
  <c r="L84" i="8"/>
  <c r="L83" i="8"/>
  <c r="L82" i="8"/>
  <c r="L81" i="8"/>
  <c r="L80" i="8"/>
  <c r="L79" i="8"/>
  <c r="L78" i="8"/>
  <c r="L77" i="8"/>
  <c r="L76" i="8"/>
  <c r="L75" i="8"/>
  <c r="L86" i="8"/>
  <c r="S38" i="6"/>
  <c r="R38" i="6"/>
  <c r="Q38" i="6"/>
  <c r="S20" i="6"/>
  <c r="R20" i="6"/>
  <c r="Q20" i="6"/>
  <c r="L48" i="5"/>
  <c r="K48" i="5"/>
  <c r="J48" i="5"/>
  <c r="I48" i="5"/>
  <c r="M48" i="5"/>
  <c r="L42" i="5"/>
  <c r="K42" i="5"/>
  <c r="J42" i="5"/>
  <c r="I42" i="5"/>
  <c r="M42" i="5"/>
  <c r="L36" i="5"/>
  <c r="K36" i="5"/>
  <c r="J36" i="5"/>
  <c r="I36" i="5"/>
  <c r="M36" i="5"/>
  <c r="L30" i="5"/>
  <c r="K30" i="5"/>
  <c r="J30" i="5"/>
  <c r="I30" i="5"/>
  <c r="M30" i="5"/>
  <c r="L24" i="5"/>
  <c r="K24" i="5"/>
  <c r="J24" i="5"/>
  <c r="I24" i="5"/>
  <c r="M24" i="5"/>
  <c r="L18" i="5"/>
  <c r="K18" i="5"/>
  <c r="J18" i="5"/>
  <c r="I18" i="5"/>
  <c r="M18" i="5"/>
  <c r="M14" i="5"/>
  <c r="L14" i="5"/>
  <c r="K14" i="5"/>
  <c r="J14" i="5"/>
  <c r="I14" i="5"/>
  <c r="E196" i="3"/>
  <c r="E193" i="3"/>
  <c r="L180" i="3"/>
  <c r="K180" i="3"/>
  <c r="J180" i="3"/>
  <c r="I191" i="3"/>
  <c r="E190" i="3"/>
  <c r="L177" i="3"/>
  <c r="I188" i="3"/>
  <c r="K177" i="3"/>
  <c r="J177" i="3"/>
  <c r="E187" i="3"/>
  <c r="L174" i="3"/>
  <c r="K174" i="3"/>
  <c r="J174" i="3"/>
  <c r="L171" i="3"/>
  <c r="K171" i="3"/>
  <c r="J171" i="3"/>
  <c r="L168" i="3"/>
  <c r="K168" i="3"/>
  <c r="J168" i="3"/>
  <c r="L165" i="3"/>
  <c r="K165" i="3"/>
  <c r="J165" i="3"/>
  <c r="L162" i="3"/>
  <c r="K162" i="3"/>
  <c r="J162" i="3"/>
  <c r="L159" i="3"/>
  <c r="K159" i="3"/>
  <c r="J159" i="3"/>
  <c r="L156" i="3"/>
  <c r="K156" i="3"/>
  <c r="J156" i="3"/>
  <c r="L153" i="3"/>
  <c r="K153" i="3"/>
  <c r="J153" i="3"/>
  <c r="L112" i="3"/>
  <c r="K112" i="3"/>
  <c r="J112" i="3"/>
  <c r="I123" i="3"/>
  <c r="E122" i="3"/>
  <c r="I120" i="3"/>
  <c r="L109" i="3"/>
  <c r="K109" i="3"/>
  <c r="J109" i="3"/>
  <c r="E119" i="3"/>
  <c r="L106" i="3"/>
  <c r="K106" i="3"/>
  <c r="J106" i="3"/>
  <c r="I117" i="3"/>
  <c r="E116" i="3"/>
  <c r="I114" i="3"/>
  <c r="L103" i="3"/>
  <c r="K103" i="3"/>
  <c r="J103" i="3"/>
  <c r="E113" i="3"/>
  <c r="L100" i="3"/>
  <c r="K100" i="3"/>
  <c r="J100" i="3"/>
  <c r="J92" i="3"/>
  <c r="K92" i="3"/>
  <c r="L92" i="3"/>
  <c r="J83" i="3"/>
  <c r="K83" i="3"/>
  <c r="L83" i="3"/>
  <c r="L66" i="3"/>
  <c r="J66" i="3"/>
  <c r="K66" i="3"/>
  <c r="J60" i="3"/>
  <c r="K60" i="3"/>
  <c r="K55" i="3"/>
  <c r="J55" i="3"/>
  <c r="J49" i="3"/>
  <c r="K49" i="3"/>
  <c r="J43" i="3"/>
  <c r="K43" i="3"/>
  <c r="F69" i="2"/>
  <c r="H68" i="2"/>
  <c r="G43" i="2"/>
  <c r="J39" i="2"/>
  <c r="I42" i="2"/>
  <c r="K39" i="2"/>
  <c r="L39" i="2"/>
  <c r="J36" i="2"/>
  <c r="K36" i="2"/>
  <c r="L36" i="2"/>
  <c r="J33" i="2"/>
  <c r="L33" i="2"/>
  <c r="K33" i="2"/>
  <c r="J22" i="2"/>
  <c r="L22" i="2"/>
  <c r="K22" i="2"/>
  <c r="J16" i="2"/>
  <c r="K16" i="2"/>
  <c r="J13" i="2"/>
  <c r="L13" i="2"/>
  <c r="K13" i="2"/>
  <c r="J10" i="2"/>
  <c r="L10" i="2"/>
  <c r="K10" i="2"/>
  <c r="J7" i="2"/>
  <c r="K7" i="2"/>
  <c r="L7" i="2"/>
  <c r="L135" i="3"/>
  <c r="K135" i="3"/>
  <c r="J135" i="3"/>
  <c r="L96" i="3"/>
  <c r="K96" i="3"/>
  <c r="J96" i="3"/>
  <c r="L87" i="3"/>
  <c r="K87" i="3"/>
  <c r="J87" i="3"/>
  <c r="H108" i="10"/>
  <c r="H96" i="10"/>
  <c r="E95" i="10"/>
  <c r="H107" i="10"/>
  <c r="H106" i="10"/>
  <c r="H105" i="10"/>
  <c r="H104" i="10"/>
  <c r="H103" i="10"/>
  <c r="H102" i="10"/>
  <c r="H101" i="10"/>
  <c r="H100" i="10"/>
  <c r="H99" i="10"/>
  <c r="H98" i="10"/>
  <c r="H97" i="10"/>
  <c r="H109" i="10"/>
  <c r="J65" i="10"/>
  <c r="G51" i="10"/>
  <c r="J52" i="10"/>
  <c r="J63" i="10"/>
  <c r="J62" i="10"/>
  <c r="J61" i="10"/>
  <c r="J60" i="10"/>
  <c r="J59" i="10"/>
  <c r="J58" i="10"/>
  <c r="J57" i="10"/>
  <c r="J56" i="10"/>
  <c r="J55" i="10"/>
  <c r="J54" i="10"/>
  <c r="J53" i="10"/>
  <c r="J64" i="10"/>
  <c r="J86" i="8"/>
  <c r="J74" i="8"/>
  <c r="J83" i="8"/>
  <c r="J80" i="8"/>
  <c r="J77" i="8"/>
  <c r="J76" i="8"/>
  <c r="J84" i="8"/>
  <c r="J81" i="8"/>
  <c r="J78" i="8"/>
  <c r="J75" i="8"/>
  <c r="J85" i="8"/>
  <c r="J79" i="8"/>
  <c r="J82" i="8"/>
  <c r="H285" i="8"/>
  <c r="H261" i="8"/>
  <c r="H260" i="8"/>
  <c r="H259" i="8"/>
  <c r="H258" i="8"/>
  <c r="H257" i="8"/>
  <c r="H256" i="8"/>
  <c r="H255" i="8"/>
  <c r="H254" i="8"/>
  <c r="H253" i="8"/>
  <c r="H252" i="8"/>
  <c r="H251" i="8"/>
  <c r="H240" i="8"/>
  <c r="G227" i="8"/>
  <c r="H228" i="8" s="1"/>
  <c r="H219" i="8"/>
  <c r="H195" i="8"/>
  <c r="H194" i="8"/>
  <c r="H193" i="8"/>
  <c r="H192" i="8"/>
  <c r="H191" i="8"/>
  <c r="H190" i="8"/>
  <c r="H189" i="8"/>
  <c r="H188" i="8"/>
  <c r="H187" i="8"/>
  <c r="H186" i="8"/>
  <c r="H185" i="8"/>
  <c r="H174" i="8"/>
  <c r="G161" i="8"/>
  <c r="H162" i="8" s="1"/>
  <c r="H153" i="8"/>
  <c r="H129" i="8"/>
  <c r="H128" i="8"/>
  <c r="H127" i="8"/>
  <c r="H126" i="8"/>
  <c r="H125" i="8"/>
  <c r="H124" i="8"/>
  <c r="H123" i="8"/>
  <c r="H122" i="8"/>
  <c r="H121" i="8"/>
  <c r="H120" i="8"/>
  <c r="H119" i="8"/>
  <c r="H108" i="8"/>
  <c r="G95" i="8"/>
  <c r="H96" i="8" s="1"/>
  <c r="G51" i="8"/>
  <c r="H8" i="8"/>
  <c r="E7" i="8"/>
  <c r="H283" i="8"/>
  <c r="H282" i="8"/>
  <c r="H281" i="8"/>
  <c r="H280" i="8"/>
  <c r="H279" i="8"/>
  <c r="H278" i="8"/>
  <c r="H277" i="8"/>
  <c r="H276" i="8"/>
  <c r="H275" i="8"/>
  <c r="H274" i="8"/>
  <c r="H273" i="8"/>
  <c r="H262" i="8"/>
  <c r="G249" i="8"/>
  <c r="H250" i="8" s="1"/>
  <c r="H241" i="8"/>
  <c r="H217" i="8"/>
  <c r="H216" i="8"/>
  <c r="H215" i="8"/>
  <c r="H214" i="8"/>
  <c r="H213" i="8"/>
  <c r="H212" i="8"/>
  <c r="H211" i="8"/>
  <c r="H210" i="8"/>
  <c r="H209" i="8"/>
  <c r="H208" i="8"/>
  <c r="H207" i="8"/>
  <c r="H196" i="8"/>
  <c r="G183" i="8"/>
  <c r="H184" i="8" s="1"/>
  <c r="H175" i="8"/>
  <c r="H151" i="8"/>
  <c r="H150" i="8"/>
  <c r="H149" i="8"/>
  <c r="H148" i="8"/>
  <c r="H147" i="8"/>
  <c r="H146" i="8"/>
  <c r="H145" i="8"/>
  <c r="H144" i="8"/>
  <c r="H143" i="8"/>
  <c r="H142" i="8"/>
  <c r="H141" i="8"/>
  <c r="H130" i="8"/>
  <c r="G117" i="8"/>
  <c r="H118" i="8" s="1"/>
  <c r="H109" i="8"/>
  <c r="G73" i="8"/>
  <c r="G29" i="8"/>
  <c r="H30" i="8" s="1"/>
  <c r="H237" i="8"/>
  <c r="H234" i="8"/>
  <c r="H231" i="8"/>
  <c r="H173" i="8"/>
  <c r="H170" i="8"/>
  <c r="H167" i="8"/>
  <c r="H164" i="8"/>
  <c r="H106" i="8"/>
  <c r="H103" i="8"/>
  <c r="H100" i="8"/>
  <c r="H97" i="8"/>
  <c r="H166" i="8"/>
  <c r="H284" i="8"/>
  <c r="G271" i="8"/>
  <c r="H272" i="8" s="1"/>
  <c r="H263" i="8"/>
  <c r="H169" i="8"/>
  <c r="H99" i="8"/>
  <c r="H238" i="8"/>
  <c r="H235" i="8"/>
  <c r="H232" i="8"/>
  <c r="H229" i="8"/>
  <c r="H171" i="8"/>
  <c r="H168" i="8"/>
  <c r="H165" i="8"/>
  <c r="H107" i="8"/>
  <c r="H104" i="8"/>
  <c r="H101" i="8"/>
  <c r="H98" i="8"/>
  <c r="H236" i="8"/>
  <c r="H172" i="8"/>
  <c r="H163" i="8"/>
  <c r="H105" i="8"/>
  <c r="H102" i="8"/>
  <c r="H152" i="8"/>
  <c r="G139" i="8"/>
  <c r="H140" i="8" s="1"/>
  <c r="H131" i="8"/>
  <c r="H218" i="8"/>
  <c r="G205" i="8"/>
  <c r="H206" i="8" s="1"/>
  <c r="H197" i="8"/>
  <c r="H239" i="8"/>
  <c r="H233" i="8"/>
  <c r="H230" i="8"/>
  <c r="S43" i="6"/>
  <c r="R43" i="6"/>
  <c r="Q43" i="6"/>
  <c r="S25" i="6"/>
  <c r="R25" i="6"/>
  <c r="Q25" i="6"/>
  <c r="K17" i="6"/>
  <c r="J17" i="6"/>
  <c r="I17" i="6"/>
  <c r="S11" i="6"/>
  <c r="R11" i="6"/>
  <c r="Q11" i="6"/>
  <c r="S18" i="6"/>
  <c r="R18" i="6"/>
  <c r="Q18" i="6"/>
  <c r="S24" i="6"/>
  <c r="R24" i="6"/>
  <c r="Q24" i="6"/>
  <c r="S30" i="6"/>
  <c r="R30" i="6"/>
  <c r="Q30" i="6"/>
  <c r="S36" i="6"/>
  <c r="R36" i="6"/>
  <c r="Q36" i="6"/>
  <c r="S42" i="6"/>
  <c r="R42" i="6"/>
  <c r="Q42" i="6"/>
  <c r="S48" i="6"/>
  <c r="R48" i="6"/>
  <c r="Q48" i="6"/>
  <c r="R10" i="6"/>
  <c r="Q10" i="6"/>
  <c r="S10" i="6"/>
  <c r="R16" i="6"/>
  <c r="Q16" i="6"/>
  <c r="S16" i="6"/>
  <c r="R17" i="6"/>
  <c r="Q17" i="6"/>
  <c r="S17" i="6"/>
  <c r="R23" i="6"/>
  <c r="Q23" i="6"/>
  <c r="S23" i="6"/>
  <c r="R29" i="6"/>
  <c r="Q29" i="6"/>
  <c r="S29" i="6"/>
  <c r="R35" i="6"/>
  <c r="Q35" i="6"/>
  <c r="S35" i="6"/>
  <c r="R41" i="6"/>
  <c r="Q41" i="6"/>
  <c r="S41" i="6"/>
  <c r="R47" i="6"/>
  <c r="Q47" i="6"/>
  <c r="S47" i="6"/>
  <c r="Q9" i="6"/>
  <c r="S9" i="6"/>
  <c r="R9" i="6"/>
  <c r="Q15" i="6"/>
  <c r="S15" i="6"/>
  <c r="R15" i="6"/>
  <c r="Q22" i="6"/>
  <c r="S22" i="6"/>
  <c r="R22" i="6"/>
  <c r="Q28" i="6"/>
  <c r="S28" i="6"/>
  <c r="R28" i="6"/>
  <c r="Q34" i="6"/>
  <c r="S34" i="6"/>
  <c r="R34" i="6"/>
  <c r="Q40" i="6"/>
  <c r="S40" i="6"/>
  <c r="R40" i="6"/>
  <c r="Q46" i="6"/>
  <c r="S46" i="6"/>
  <c r="R46" i="6"/>
  <c r="Q52" i="6"/>
  <c r="S52" i="6"/>
  <c r="R52" i="6"/>
  <c r="S8" i="6"/>
  <c r="R8" i="6"/>
  <c r="Q8" i="6"/>
  <c r="S14" i="6"/>
  <c r="R14" i="6"/>
  <c r="Q14" i="6"/>
  <c r="S21" i="6"/>
  <c r="R21" i="6"/>
  <c r="Q21" i="6"/>
  <c r="S27" i="6"/>
  <c r="R27" i="6"/>
  <c r="Q27" i="6"/>
  <c r="S33" i="6"/>
  <c r="R33" i="6"/>
  <c r="Q33" i="6"/>
  <c r="S39" i="6"/>
  <c r="R39" i="6"/>
  <c r="Q39" i="6"/>
  <c r="S45" i="6"/>
  <c r="R45" i="6"/>
  <c r="Q45" i="6"/>
  <c r="S51" i="6"/>
  <c r="Q51" i="6"/>
  <c r="R51" i="6"/>
  <c r="H123" i="3"/>
  <c r="H120" i="3"/>
  <c r="H117" i="3"/>
  <c r="H114" i="3"/>
  <c r="L94" i="3"/>
  <c r="J94" i="3"/>
  <c r="K94" i="3"/>
  <c r="L93" i="3"/>
  <c r="K93" i="3"/>
  <c r="J93" i="3"/>
  <c r="L85" i="3"/>
  <c r="J85" i="3"/>
  <c r="K85" i="3"/>
  <c r="L84" i="3"/>
  <c r="K84" i="3"/>
  <c r="J84" i="3"/>
  <c r="E114" i="3"/>
  <c r="E117" i="3"/>
  <c r="E120" i="3"/>
  <c r="E123" i="3"/>
  <c r="J68" i="3"/>
  <c r="L68" i="3"/>
  <c r="K68" i="3"/>
  <c r="J56" i="3"/>
  <c r="K56" i="3"/>
  <c r="K54" i="3"/>
  <c r="J54" i="3"/>
  <c r="K48" i="3"/>
  <c r="J48" i="3"/>
  <c r="K42" i="3"/>
  <c r="J42" i="3"/>
  <c r="K38" i="3"/>
  <c r="L38" i="3"/>
  <c r="J38" i="3"/>
  <c r="K35" i="3"/>
  <c r="L35" i="3"/>
  <c r="J35" i="3"/>
  <c r="K32" i="3"/>
  <c r="J32" i="3"/>
  <c r="L32" i="3"/>
  <c r="K29" i="3"/>
  <c r="J29" i="3"/>
  <c r="L29" i="3"/>
  <c r="K26" i="3"/>
  <c r="L26" i="3"/>
  <c r="J26" i="3"/>
  <c r="K23" i="3"/>
  <c r="L23" i="3"/>
  <c r="J23" i="3"/>
  <c r="K20" i="3"/>
  <c r="J20" i="3"/>
  <c r="L20" i="3"/>
  <c r="K17" i="3"/>
  <c r="J17" i="3"/>
  <c r="L17" i="3"/>
  <c r="K14" i="3"/>
  <c r="L14" i="3"/>
  <c r="J14" i="3"/>
  <c r="K11" i="3"/>
  <c r="J11" i="3"/>
  <c r="L11" i="3"/>
  <c r="K8" i="3"/>
  <c r="J8" i="3"/>
  <c r="L8" i="3"/>
  <c r="K75" i="2"/>
  <c r="J75" i="2"/>
  <c r="L75" i="2"/>
  <c r="K67" i="2"/>
  <c r="J67" i="2"/>
  <c r="E69" i="2"/>
  <c r="G68" i="2"/>
  <c r="K64" i="2"/>
  <c r="J64" i="2"/>
  <c r="L64" i="2"/>
  <c r="K61" i="2"/>
  <c r="J61" i="2"/>
  <c r="L61" i="2"/>
  <c r="F43" i="2"/>
  <c r="H42" i="2"/>
  <c r="K21" i="2"/>
  <c r="J21" i="2"/>
  <c r="E188" i="3"/>
  <c r="E191" i="3"/>
  <c r="E194" i="3"/>
  <c r="L144" i="3"/>
  <c r="K144" i="3"/>
  <c r="J144" i="3"/>
  <c r="L97" i="3"/>
  <c r="J97" i="3"/>
  <c r="K97" i="3"/>
  <c r="V17" i="12"/>
  <c r="T17" i="12"/>
  <c r="S17" i="12"/>
  <c r="V20" i="12"/>
  <c r="T20" i="12"/>
  <c r="S20" i="12"/>
  <c r="V23" i="12"/>
  <c r="T23" i="12"/>
  <c r="S23" i="12"/>
  <c r="V26" i="12"/>
  <c r="T26" i="12"/>
  <c r="S26" i="12"/>
  <c r="V29" i="12"/>
  <c r="T29" i="12"/>
  <c r="S29" i="12"/>
  <c r="V32" i="12"/>
  <c r="T32" i="12"/>
  <c r="S32" i="12"/>
  <c r="V35" i="12"/>
  <c r="T35" i="12"/>
  <c r="S35" i="12"/>
  <c r="V38" i="12"/>
  <c r="T38" i="12"/>
  <c r="S38" i="12"/>
  <c r="V41" i="12"/>
  <c r="T41" i="12"/>
  <c r="S41" i="12"/>
  <c r="V44" i="12"/>
  <c r="T44" i="12"/>
  <c r="S44" i="12"/>
  <c r="V47" i="12"/>
  <c r="T47" i="12"/>
  <c r="S47" i="12"/>
  <c r="V50" i="12"/>
  <c r="T50" i="12"/>
  <c r="S50" i="12"/>
  <c r="V53" i="12"/>
  <c r="T53" i="12"/>
  <c r="S53" i="12"/>
  <c r="V56" i="12"/>
  <c r="T56" i="12"/>
  <c r="S56" i="12"/>
  <c r="T6" i="12"/>
  <c r="S6" i="12"/>
  <c r="V6" i="12"/>
  <c r="T9" i="12"/>
  <c r="S9" i="12"/>
  <c r="V9" i="12"/>
  <c r="T11" i="12"/>
  <c r="V11" i="12"/>
  <c r="S11" i="12"/>
  <c r="T13" i="12"/>
  <c r="S13" i="12"/>
  <c r="V13" i="12"/>
  <c r="T15" i="12"/>
  <c r="V15" i="12"/>
  <c r="S15" i="12"/>
  <c r="T18" i="12"/>
  <c r="V18" i="12"/>
  <c r="S18" i="12"/>
  <c r="T21" i="12"/>
  <c r="V21" i="12"/>
  <c r="S21" i="12"/>
  <c r="T24" i="12"/>
  <c r="V24" i="12"/>
  <c r="S24" i="12"/>
  <c r="T27" i="12"/>
  <c r="V27" i="12"/>
  <c r="S27" i="12"/>
  <c r="T30" i="12"/>
  <c r="V30" i="12"/>
  <c r="S30" i="12"/>
  <c r="T33" i="12"/>
  <c r="V33" i="12"/>
  <c r="S33" i="12"/>
  <c r="T36" i="12"/>
  <c r="V36" i="12"/>
  <c r="S36" i="12"/>
  <c r="T39" i="12"/>
  <c r="V39" i="12"/>
  <c r="S39" i="12"/>
  <c r="T42" i="12"/>
  <c r="V42" i="12"/>
  <c r="S42" i="12"/>
  <c r="T45" i="12"/>
  <c r="V45" i="12"/>
  <c r="S45" i="12"/>
  <c r="T48" i="12"/>
  <c r="V48" i="12"/>
  <c r="S48" i="12"/>
  <c r="T51" i="12"/>
  <c r="V51" i="12"/>
  <c r="S51" i="12"/>
  <c r="T54" i="12"/>
  <c r="V54" i="12"/>
  <c r="S54" i="12"/>
  <c r="T57" i="12"/>
  <c r="V57" i="12"/>
  <c r="S57" i="12"/>
  <c r="S16" i="12"/>
  <c r="V16" i="12"/>
  <c r="T16" i="12"/>
  <c r="S19" i="12"/>
  <c r="V19" i="12"/>
  <c r="T19" i="12"/>
  <c r="S22" i="12"/>
  <c r="V22" i="12"/>
  <c r="T22" i="12"/>
  <c r="S25" i="12"/>
  <c r="V25" i="12"/>
  <c r="T25" i="12"/>
  <c r="S28" i="12"/>
  <c r="V28" i="12"/>
  <c r="T28" i="12"/>
  <c r="S31" i="12"/>
  <c r="V31" i="12"/>
  <c r="T31" i="12"/>
  <c r="S34" i="12"/>
  <c r="V34" i="12"/>
  <c r="T34" i="12"/>
  <c r="S37" i="12"/>
  <c r="V37" i="12"/>
  <c r="T37" i="12"/>
  <c r="S40" i="12"/>
  <c r="V40" i="12"/>
  <c r="T40" i="12"/>
  <c r="S43" i="12"/>
  <c r="V43" i="12"/>
  <c r="T43" i="12"/>
  <c r="S46" i="12"/>
  <c r="V46" i="12"/>
  <c r="T46" i="12"/>
  <c r="S49" i="12"/>
  <c r="V49" i="12"/>
  <c r="T49" i="12"/>
  <c r="S52" i="12"/>
  <c r="V52" i="12"/>
  <c r="T52" i="12"/>
  <c r="S55" i="12"/>
  <c r="V55" i="12"/>
  <c r="T55" i="12"/>
  <c r="V7" i="12"/>
  <c r="T7" i="12"/>
  <c r="S7" i="12"/>
  <c r="V10" i="12"/>
  <c r="T10" i="12"/>
  <c r="S10" i="12"/>
  <c r="V12" i="12"/>
  <c r="S12" i="12"/>
  <c r="T12" i="12"/>
  <c r="V14" i="12"/>
  <c r="T14" i="12"/>
  <c r="S14" i="12"/>
  <c r="H85" i="10"/>
  <c r="H84" i="10"/>
  <c r="H83" i="10"/>
  <c r="H82" i="10"/>
  <c r="H81" i="10"/>
  <c r="H80" i="10"/>
  <c r="H79" i="10"/>
  <c r="H78" i="10"/>
  <c r="H77" i="10"/>
  <c r="H76" i="10"/>
  <c r="H75" i="10"/>
  <c r="H86" i="10"/>
  <c r="H74" i="10"/>
  <c r="E73" i="10"/>
  <c r="H87" i="10"/>
  <c r="J65" i="8"/>
  <c r="J63" i="8"/>
  <c r="J62" i="8"/>
  <c r="J61" i="8"/>
  <c r="J60" i="8"/>
  <c r="J59" i="8"/>
  <c r="J58" i="8"/>
  <c r="J57" i="8"/>
  <c r="J56" i="8"/>
  <c r="J55" i="8"/>
  <c r="J54" i="8"/>
  <c r="J53" i="8"/>
  <c r="J87" i="8"/>
  <c r="J52" i="8"/>
  <c r="J64" i="8"/>
  <c r="S26" i="6"/>
  <c r="R26" i="6"/>
  <c r="Q26" i="6"/>
  <c r="K18" i="6"/>
  <c r="J18" i="6"/>
  <c r="I18" i="6"/>
  <c r="S7" i="6"/>
  <c r="R7" i="6"/>
  <c r="Q7" i="6"/>
  <c r="L52" i="5"/>
  <c r="K52" i="5"/>
  <c r="J52" i="5"/>
  <c r="I52" i="5"/>
  <c r="M52" i="5"/>
  <c r="L46" i="5"/>
  <c r="K46" i="5"/>
  <c r="J46" i="5"/>
  <c r="I46" i="5"/>
  <c r="M46" i="5"/>
  <c r="L40" i="5"/>
  <c r="K40" i="5"/>
  <c r="J40" i="5"/>
  <c r="I40" i="5"/>
  <c r="M40" i="5"/>
  <c r="L34" i="5"/>
  <c r="K34" i="5"/>
  <c r="J34" i="5"/>
  <c r="I34" i="5"/>
  <c r="M34" i="5"/>
  <c r="L28" i="5"/>
  <c r="K28" i="5"/>
  <c r="J28" i="5"/>
  <c r="I28" i="5"/>
  <c r="M28" i="5"/>
  <c r="L22" i="5"/>
  <c r="K22" i="5"/>
  <c r="J22" i="5"/>
  <c r="I22" i="5"/>
  <c r="M22" i="5"/>
  <c r="M12" i="5"/>
  <c r="L12" i="5"/>
  <c r="K12" i="5"/>
  <c r="J12" i="5"/>
  <c r="I12" i="5"/>
  <c r="J7" i="5"/>
  <c r="I7" i="5"/>
  <c r="L7" i="5"/>
  <c r="K7" i="5"/>
  <c r="M7" i="5"/>
  <c r="J9" i="5"/>
  <c r="I9" i="5"/>
  <c r="M9" i="5"/>
  <c r="L9" i="5"/>
  <c r="K9" i="5"/>
  <c r="J11" i="5"/>
  <c r="I11" i="5"/>
  <c r="M11" i="5"/>
  <c r="L11" i="5"/>
  <c r="K11" i="5"/>
  <c r="J13" i="5"/>
  <c r="I13" i="5"/>
  <c r="M13" i="5"/>
  <c r="L13" i="5"/>
  <c r="K13" i="5"/>
  <c r="J15" i="5"/>
  <c r="I15" i="5"/>
  <c r="M15" i="5"/>
  <c r="L15" i="5"/>
  <c r="K15" i="5"/>
  <c r="I17" i="5"/>
  <c r="M17" i="5"/>
  <c r="L17" i="5"/>
  <c r="K17" i="5"/>
  <c r="J17" i="5"/>
  <c r="I19" i="5"/>
  <c r="M19" i="5"/>
  <c r="L19" i="5"/>
  <c r="J19" i="5"/>
  <c r="K19" i="5"/>
  <c r="I21" i="5"/>
  <c r="M21" i="5"/>
  <c r="L21" i="5"/>
  <c r="K21" i="5"/>
  <c r="J21" i="5"/>
  <c r="I23" i="5"/>
  <c r="M23" i="5"/>
  <c r="L23" i="5"/>
  <c r="K23" i="5"/>
  <c r="J23" i="5"/>
  <c r="I25" i="5"/>
  <c r="M25" i="5"/>
  <c r="L25" i="5"/>
  <c r="J25" i="5"/>
  <c r="K25" i="5"/>
  <c r="I27" i="5"/>
  <c r="M27" i="5"/>
  <c r="L27" i="5"/>
  <c r="J27" i="5"/>
  <c r="K27" i="5"/>
  <c r="I29" i="5"/>
  <c r="M29" i="5"/>
  <c r="L29" i="5"/>
  <c r="K29" i="5"/>
  <c r="J29" i="5"/>
  <c r="I31" i="5"/>
  <c r="M31" i="5"/>
  <c r="L31" i="5"/>
  <c r="J31" i="5"/>
  <c r="K31" i="5"/>
  <c r="I33" i="5"/>
  <c r="M33" i="5"/>
  <c r="L33" i="5"/>
  <c r="J33" i="5"/>
  <c r="K33" i="5"/>
  <c r="I35" i="5"/>
  <c r="M35" i="5"/>
  <c r="L35" i="5"/>
  <c r="K35" i="5"/>
  <c r="J35" i="5"/>
  <c r="I37" i="5"/>
  <c r="M37" i="5"/>
  <c r="L37" i="5"/>
  <c r="J37" i="5"/>
  <c r="K37" i="5"/>
  <c r="I39" i="5"/>
  <c r="M39" i="5"/>
  <c r="L39" i="5"/>
  <c r="K39" i="5"/>
  <c r="J39" i="5"/>
  <c r="I41" i="5"/>
  <c r="M41" i="5"/>
  <c r="L41" i="5"/>
  <c r="K41" i="5"/>
  <c r="J41" i="5"/>
  <c r="I43" i="5"/>
  <c r="M43" i="5"/>
  <c r="L43" i="5"/>
  <c r="J43" i="5"/>
  <c r="K43" i="5"/>
  <c r="I45" i="5"/>
  <c r="M45" i="5"/>
  <c r="L45" i="5"/>
  <c r="J45" i="5"/>
  <c r="K45" i="5"/>
  <c r="I47" i="5"/>
  <c r="M47" i="5"/>
  <c r="L47" i="5"/>
  <c r="K47" i="5"/>
  <c r="J47" i="5"/>
  <c r="I49" i="5"/>
  <c r="M49" i="5"/>
  <c r="L49" i="5"/>
  <c r="J49" i="5"/>
  <c r="K49" i="5"/>
  <c r="I51" i="5"/>
  <c r="M51" i="5"/>
  <c r="L51" i="5"/>
  <c r="J51" i="5"/>
  <c r="K51" i="5"/>
  <c r="L217" i="3"/>
  <c r="K217" i="3"/>
  <c r="J217" i="3"/>
  <c r="L214" i="3"/>
  <c r="K214" i="3"/>
  <c r="J214" i="3"/>
  <c r="L211" i="3"/>
  <c r="K211" i="3"/>
  <c r="J211" i="3"/>
  <c r="L208" i="3"/>
  <c r="K208" i="3"/>
  <c r="J208" i="3"/>
  <c r="L143" i="3"/>
  <c r="K143" i="3"/>
  <c r="J143" i="3"/>
  <c r="L140" i="3"/>
  <c r="K140" i="3"/>
  <c r="J140" i="3"/>
  <c r="L137" i="3"/>
  <c r="K137" i="3"/>
  <c r="J137" i="3"/>
  <c r="G123" i="3"/>
  <c r="G120" i="3"/>
  <c r="G117" i="3"/>
  <c r="G114" i="3"/>
  <c r="J95" i="3"/>
  <c r="L95" i="3"/>
  <c r="K95" i="3"/>
  <c r="J86" i="3"/>
  <c r="L86" i="3"/>
  <c r="K86" i="3"/>
  <c r="L70" i="3"/>
  <c r="J70" i="3"/>
  <c r="K70" i="3"/>
  <c r="L69" i="3"/>
  <c r="K69" i="3"/>
  <c r="J69" i="3"/>
  <c r="K53" i="3"/>
  <c r="J53" i="3"/>
  <c r="K47" i="3"/>
  <c r="J47" i="3"/>
  <c r="K41" i="3"/>
  <c r="J41" i="3"/>
  <c r="F68" i="2"/>
  <c r="L49" i="2"/>
  <c r="K49" i="2"/>
  <c r="J49" i="2"/>
  <c r="K41" i="2"/>
  <c r="J41" i="2"/>
  <c r="E43" i="2"/>
  <c r="G42" i="2"/>
  <c r="L38" i="2"/>
  <c r="K38" i="2"/>
  <c r="J38" i="2"/>
  <c r="L35" i="2"/>
  <c r="K35" i="2"/>
  <c r="J35" i="2"/>
  <c r="L32" i="2"/>
  <c r="K32" i="2"/>
  <c r="J32" i="2"/>
  <c r="L24" i="2"/>
  <c r="K24" i="2"/>
  <c r="J24" i="2"/>
  <c r="K20" i="2"/>
  <c r="J20" i="2"/>
  <c r="L15" i="2"/>
  <c r="K15" i="2"/>
  <c r="J15" i="2"/>
  <c r="I18" i="2"/>
  <c r="L12" i="2"/>
  <c r="K12" i="2"/>
  <c r="J12" i="2"/>
  <c r="L9" i="2"/>
  <c r="K9" i="2"/>
  <c r="J9" i="2"/>
  <c r="I20" i="6"/>
  <c r="K20" i="6"/>
  <c r="J20" i="6"/>
  <c r="L141" i="3"/>
  <c r="K141" i="3"/>
  <c r="J141" i="3"/>
  <c r="J101" i="3"/>
  <c r="L101" i="3"/>
  <c r="K101" i="3"/>
  <c r="J104" i="3"/>
  <c r="L104" i="3"/>
  <c r="I115" i="3"/>
  <c r="K104" i="3"/>
  <c r="J107" i="3"/>
  <c r="I118" i="3"/>
  <c r="L107" i="3"/>
  <c r="K107" i="3"/>
  <c r="J110" i="3"/>
  <c r="I121" i="3"/>
  <c r="L110" i="3"/>
  <c r="K110" i="3"/>
  <c r="J136" i="3"/>
  <c r="K136" i="3"/>
  <c r="L136" i="3"/>
  <c r="J139" i="3"/>
  <c r="K139" i="3"/>
  <c r="L139" i="3"/>
  <c r="J142" i="3"/>
  <c r="K142" i="3"/>
  <c r="L142" i="3"/>
  <c r="J145" i="3"/>
  <c r="K145" i="3"/>
  <c r="L145" i="3"/>
  <c r="H115" i="3"/>
  <c r="H118" i="3"/>
  <c r="H121" i="3"/>
  <c r="H113" i="3"/>
  <c r="H116" i="3"/>
  <c r="H119" i="3"/>
  <c r="H122" i="3"/>
  <c r="H16" i="45"/>
  <c r="J16" i="45"/>
  <c r="I16" i="45"/>
  <c r="N16" i="45"/>
  <c r="M16" i="45"/>
  <c r="L16" i="45"/>
  <c r="T16" i="45"/>
  <c r="S16" i="45"/>
  <c r="Q16" i="45"/>
  <c r="R16" i="45"/>
  <c r="P16" i="45"/>
  <c r="O146" i="44"/>
  <c r="N146" i="44"/>
  <c r="M146" i="44"/>
  <c r="L146" i="44"/>
  <c r="L16" i="44"/>
  <c r="N16" i="44"/>
  <c r="M16" i="44"/>
  <c r="R16" i="44"/>
  <c r="P16" i="44"/>
  <c r="S16" i="44"/>
  <c r="Q16" i="44"/>
  <c r="T16" i="44"/>
  <c r="I146" i="44"/>
  <c r="H146" i="44"/>
  <c r="K146" i="44" s="1"/>
  <c r="G146" i="44"/>
  <c r="J16" i="44"/>
  <c r="I16" i="44"/>
  <c r="H16" i="44"/>
  <c r="I146" i="43"/>
  <c r="G146" i="43"/>
  <c r="H146" i="43"/>
  <c r="K146" i="43" s="1"/>
  <c r="K11" i="39"/>
  <c r="M11" i="39"/>
  <c r="L11" i="39"/>
  <c r="O11" i="39"/>
  <c r="R11" i="39"/>
  <c r="Q11" i="39"/>
  <c r="P11" i="39"/>
  <c r="S11" i="39"/>
  <c r="T11" i="39"/>
  <c r="I11" i="39"/>
  <c r="H11" i="39"/>
  <c r="G11" i="39"/>
  <c r="M129" i="39"/>
  <c r="L129" i="39"/>
  <c r="K129" i="39"/>
  <c r="O129" i="39"/>
  <c r="N129" i="39"/>
  <c r="K20" i="27"/>
  <c r="J20" i="27"/>
  <c r="I20" i="27"/>
  <c r="I76" i="26"/>
  <c r="K76" i="26"/>
  <c r="J76" i="26"/>
  <c r="I48" i="26"/>
  <c r="K48" i="26"/>
  <c r="J48" i="26"/>
  <c r="I20" i="26"/>
  <c r="K20" i="26"/>
  <c r="J20" i="26"/>
  <c r="K104" i="26"/>
  <c r="J104" i="26"/>
  <c r="I104" i="26"/>
  <c r="L77" i="22"/>
  <c r="K77" i="22"/>
  <c r="J77" i="22"/>
  <c r="L35" i="22"/>
  <c r="K35" i="22"/>
  <c r="J35" i="22"/>
  <c r="I106" i="21"/>
  <c r="H106" i="21"/>
  <c r="K105" i="22"/>
  <c r="J105" i="22"/>
  <c r="L105" i="22"/>
  <c r="H50" i="21"/>
  <c r="I50" i="21"/>
  <c r="I120" i="21"/>
  <c r="H120" i="21"/>
  <c r="K147" i="22"/>
  <c r="J147" i="22"/>
  <c r="L147" i="22"/>
  <c r="K63" i="22"/>
  <c r="J63" i="22"/>
  <c r="L63" i="22"/>
  <c r="I36" i="21"/>
  <c r="H36" i="21"/>
  <c r="I134" i="21"/>
  <c r="H134" i="21"/>
  <c r="X135" i="19"/>
  <c r="X147" i="19"/>
  <c r="R132" i="18"/>
  <c r="Q132" i="18"/>
  <c r="R36" i="18"/>
  <c r="Q36" i="18"/>
  <c r="X20" i="18"/>
  <c r="Y20" i="18"/>
  <c r="J135" i="14"/>
  <c r="I135" i="14"/>
  <c r="J93" i="14"/>
  <c r="I93" i="14"/>
  <c r="J51" i="14"/>
  <c r="I51" i="14"/>
  <c r="L147" i="15"/>
  <c r="K147" i="15"/>
  <c r="J147" i="15"/>
  <c r="I147" i="15"/>
  <c r="M147" i="15"/>
  <c r="L63" i="15"/>
  <c r="K63" i="15"/>
  <c r="J63" i="15"/>
  <c r="I63" i="15"/>
  <c r="M63" i="15"/>
  <c r="L21" i="15"/>
  <c r="K21" i="15"/>
  <c r="J21" i="15"/>
  <c r="I21" i="15"/>
  <c r="M21" i="15"/>
  <c r="J23" i="14"/>
  <c r="I23" i="14"/>
  <c r="J146" i="13"/>
  <c r="I146" i="13"/>
  <c r="K146" i="13"/>
  <c r="J118" i="13"/>
  <c r="I118" i="13"/>
  <c r="K118" i="13"/>
  <c r="J90" i="13"/>
  <c r="I90" i="13"/>
  <c r="K90" i="13"/>
  <c r="J62" i="13"/>
  <c r="I62" i="13"/>
  <c r="K62" i="13"/>
  <c r="Y146" i="18"/>
  <c r="X146" i="18"/>
  <c r="R48" i="18"/>
  <c r="Q48" i="18"/>
  <c r="J163" i="14"/>
  <c r="I163" i="14"/>
  <c r="J121" i="14"/>
  <c r="I121" i="14"/>
  <c r="J79" i="14"/>
  <c r="I79" i="14"/>
  <c r="J37" i="14"/>
  <c r="I37" i="14"/>
  <c r="J8" i="18"/>
  <c r="I8" i="18"/>
  <c r="M91" i="15"/>
  <c r="L91" i="15"/>
  <c r="K91" i="15"/>
  <c r="J91" i="15"/>
  <c r="I91" i="15"/>
  <c r="I107" i="14"/>
  <c r="J107" i="14"/>
  <c r="V20" i="13"/>
  <c r="U20" i="13"/>
  <c r="W20" i="13"/>
  <c r="J64" i="18"/>
  <c r="I64" i="18"/>
  <c r="R22" i="18"/>
  <c r="Q22" i="18"/>
  <c r="I105" i="15"/>
  <c r="M105" i="15"/>
  <c r="L105" i="15"/>
  <c r="K105" i="15"/>
  <c r="J105" i="15"/>
  <c r="J34" i="13"/>
  <c r="I34" i="13"/>
  <c r="K34" i="13"/>
  <c r="I65" i="14"/>
  <c r="J65" i="14"/>
  <c r="J161" i="19"/>
  <c r="H161" i="19"/>
  <c r="Y36" i="18"/>
  <c r="X36" i="18"/>
  <c r="K48" i="13"/>
  <c r="J48" i="13"/>
  <c r="I48" i="13"/>
  <c r="L55" i="12"/>
  <c r="J55" i="12"/>
  <c r="K55" i="12"/>
  <c r="I55" i="12"/>
  <c r="J20" i="13"/>
  <c r="I20" i="13"/>
  <c r="K20" i="13"/>
  <c r="K46" i="2"/>
  <c r="J46" i="2"/>
  <c r="J43" i="2"/>
  <c r="K43" i="2"/>
  <c r="J17" i="2"/>
  <c r="K17" i="2"/>
  <c r="J48" i="18"/>
  <c r="I48" i="18"/>
  <c r="K104" i="13"/>
  <c r="J104" i="13"/>
  <c r="I104" i="13"/>
  <c r="I149" i="14"/>
  <c r="J149" i="14"/>
  <c r="K105" i="16"/>
  <c r="J105" i="16"/>
  <c r="I105" i="16"/>
  <c r="K132" i="13"/>
  <c r="J132" i="13"/>
  <c r="I132" i="13"/>
  <c r="K160" i="13"/>
  <c r="J160" i="13"/>
  <c r="I160" i="13"/>
  <c r="K76" i="13"/>
  <c r="J76" i="13"/>
  <c r="I76" i="13"/>
  <c r="J77" i="19"/>
  <c r="H77" i="19"/>
  <c r="K72" i="2"/>
  <c r="J72" i="2"/>
  <c r="L72" i="2"/>
  <c r="K69" i="2"/>
  <c r="J69" i="2"/>
  <c r="L69" i="2"/>
  <c r="I135" i="16"/>
  <c r="K135" i="16"/>
  <c r="J135" i="16"/>
  <c r="K205" i="3"/>
  <c r="J205" i="3"/>
  <c r="J194" i="3"/>
  <c r="K194" i="3"/>
  <c r="W20" i="17" l="1"/>
  <c r="K55" i="17"/>
  <c r="K59" i="17"/>
  <c r="K94" i="17"/>
  <c r="K98" i="17"/>
  <c r="K102" i="17"/>
  <c r="K109" i="17"/>
  <c r="K141" i="17"/>
  <c r="K145" i="17"/>
  <c r="K157" i="17"/>
  <c r="K153" i="17"/>
  <c r="K118" i="17"/>
  <c r="K114" i="17"/>
  <c r="K110" i="17"/>
  <c r="K75" i="17"/>
  <c r="K71" i="17"/>
  <c r="K39" i="17"/>
  <c r="K32" i="17"/>
  <c r="K28" i="17"/>
  <c r="K24" i="17"/>
  <c r="J12" i="19"/>
  <c r="J98" i="19"/>
  <c r="J40" i="19"/>
  <c r="J59" i="19"/>
  <c r="J69" i="19"/>
  <c r="J143" i="19"/>
  <c r="J127" i="19"/>
  <c r="J30" i="19"/>
  <c r="J88" i="19"/>
  <c r="J117" i="19"/>
  <c r="J153" i="19"/>
  <c r="R59" i="18"/>
  <c r="Y15" i="18"/>
  <c r="R27" i="18"/>
  <c r="R33" i="18"/>
  <c r="Y55" i="18"/>
  <c r="Y74" i="18"/>
  <c r="R126" i="18"/>
  <c r="R100" i="18"/>
  <c r="R81" i="18"/>
  <c r="R114" i="18"/>
  <c r="R95" i="18"/>
  <c r="R141" i="18"/>
  <c r="R89" i="18"/>
  <c r="R57" i="18"/>
  <c r="R142" i="18"/>
  <c r="R123" i="18"/>
  <c r="R58" i="18"/>
  <c r="R32" i="18"/>
  <c r="R53" i="18"/>
  <c r="R72" i="18"/>
  <c r="Y159" i="18"/>
  <c r="Y127" i="18"/>
  <c r="Y43" i="18"/>
  <c r="Y115" i="18"/>
  <c r="Y96" i="18"/>
  <c r="Y136" i="18"/>
  <c r="Y116" i="18"/>
  <c r="Y52" i="18"/>
  <c r="Y150" i="18"/>
  <c r="Y130" i="18"/>
  <c r="Y66" i="18"/>
  <c r="Y46" i="18"/>
  <c r="Y13" i="18"/>
  <c r="R25" i="18"/>
  <c r="R93" i="18"/>
  <c r="R11" i="19"/>
  <c r="R13" i="19"/>
  <c r="L87" i="33"/>
  <c r="H87" i="33"/>
  <c r="K142" i="45"/>
  <c r="K138" i="45"/>
  <c r="W16" i="17"/>
  <c r="K27" i="17"/>
  <c r="K31" i="17"/>
  <c r="K66" i="17"/>
  <c r="K70" i="17"/>
  <c r="K74" i="17"/>
  <c r="K81" i="17"/>
  <c r="K113" i="17"/>
  <c r="K117" i="17"/>
  <c r="K152" i="17"/>
  <c r="K156" i="17"/>
  <c r="K146" i="17"/>
  <c r="K142" i="17"/>
  <c r="K138" i="17"/>
  <c r="K103" i="17"/>
  <c r="K99" i="17"/>
  <c r="K67" i="17"/>
  <c r="K60" i="17"/>
  <c r="K56" i="17"/>
  <c r="K52" i="17"/>
  <c r="R98" i="18"/>
  <c r="R117" i="18"/>
  <c r="Y152" i="18"/>
  <c r="W11" i="17"/>
  <c r="W13" i="17"/>
  <c r="R61" i="18"/>
  <c r="R159" i="18"/>
  <c r="R127" i="18"/>
  <c r="R75" i="18"/>
  <c r="R43" i="18"/>
  <c r="R122" i="18"/>
  <c r="R102" i="18"/>
  <c r="R155" i="18"/>
  <c r="R103" i="18"/>
  <c r="R71" i="18"/>
  <c r="R13" i="18"/>
  <c r="R19" i="18"/>
  <c r="R39" i="18"/>
  <c r="Y47" i="18"/>
  <c r="Y153" i="18"/>
  <c r="Y108" i="18"/>
  <c r="Y88" i="18"/>
  <c r="Y154" i="18"/>
  <c r="Y70" i="18"/>
  <c r="Y97" i="18"/>
  <c r="Y111" i="18"/>
  <c r="Y19" i="18"/>
  <c r="R31" i="18"/>
  <c r="Y39" i="18"/>
  <c r="R73" i="18"/>
  <c r="K143" i="45"/>
  <c r="K11" i="17"/>
  <c r="K38" i="17"/>
  <c r="K42" i="17"/>
  <c r="K46" i="17"/>
  <c r="K53" i="17"/>
  <c r="K85" i="17"/>
  <c r="K89" i="17"/>
  <c r="K124" i="17"/>
  <c r="K128" i="17"/>
  <c r="K132" i="17"/>
  <c r="K131" i="17"/>
  <c r="K127" i="17"/>
  <c r="K95" i="17"/>
  <c r="K88" i="17"/>
  <c r="K84" i="17"/>
  <c r="K80" i="17"/>
  <c r="K45" i="17"/>
  <c r="K41" i="17"/>
  <c r="W15" i="16"/>
  <c r="W17" i="16"/>
  <c r="W19" i="16"/>
  <c r="R137" i="18"/>
  <c r="R156" i="18"/>
  <c r="Y28" i="18"/>
  <c r="R80" i="18"/>
  <c r="R99" i="18"/>
  <c r="W15" i="17"/>
  <c r="W17" i="17"/>
  <c r="W19" i="17"/>
  <c r="R158" i="18"/>
  <c r="R145" i="18"/>
  <c r="R113" i="18"/>
  <c r="R108" i="18"/>
  <c r="R88" i="18"/>
  <c r="R83" i="18"/>
  <c r="R136" i="18"/>
  <c r="R116" i="18"/>
  <c r="R52" i="18"/>
  <c r="Y27" i="18"/>
  <c r="Y33" i="18"/>
  <c r="Y67" i="18"/>
  <c r="Y86" i="18"/>
  <c r="R111" i="18"/>
  <c r="R130" i="18"/>
  <c r="Y69" i="18"/>
  <c r="Y128" i="18"/>
  <c r="Y109" i="18"/>
  <c r="Y44" i="18"/>
  <c r="Y149" i="18"/>
  <c r="Y129" i="18"/>
  <c r="Y65" i="18"/>
  <c r="Y45" i="18"/>
  <c r="Y143" i="18"/>
  <c r="Y79" i="18"/>
  <c r="Y59" i="18"/>
  <c r="Y26" i="18"/>
  <c r="R112" i="18"/>
  <c r="H109" i="33"/>
  <c r="K140" i="45"/>
  <c r="K90" i="16"/>
  <c r="K129" i="16"/>
  <c r="K142" i="16"/>
  <c r="K159" i="16"/>
  <c r="K123" i="16"/>
  <c r="K155" i="16"/>
  <c r="K97" i="16"/>
  <c r="K110" i="16"/>
  <c r="K116" i="16"/>
  <c r="K136" i="16"/>
  <c r="K103" i="16"/>
  <c r="K13" i="17"/>
  <c r="K15" i="17"/>
  <c r="K17" i="17"/>
  <c r="K19" i="17"/>
  <c r="K25" i="17"/>
  <c r="K57" i="17"/>
  <c r="K61" i="17"/>
  <c r="K96" i="17"/>
  <c r="K100" i="17"/>
  <c r="K104" i="17"/>
  <c r="K139" i="17"/>
  <c r="K143" i="17"/>
  <c r="K159" i="17"/>
  <c r="K155" i="17"/>
  <c r="K123" i="17"/>
  <c r="K116" i="17"/>
  <c r="K112" i="17"/>
  <c r="K108" i="17"/>
  <c r="K73" i="17"/>
  <c r="K69" i="17"/>
  <c r="K34" i="17"/>
  <c r="K30" i="17"/>
  <c r="K26" i="17"/>
  <c r="R30" i="18"/>
  <c r="R23" i="18"/>
  <c r="R125" i="18"/>
  <c r="R11" i="18"/>
  <c r="R124" i="18"/>
  <c r="R67" i="18"/>
  <c r="R40" i="18"/>
  <c r="R85" i="18"/>
  <c r="R66" i="18"/>
  <c r="R157" i="18"/>
  <c r="R24" i="18"/>
  <c r="R143" i="18"/>
  <c r="R47" i="18"/>
  <c r="R37" i="18"/>
  <c r="R46" i="18"/>
  <c r="R16" i="18"/>
  <c r="R17" i="18"/>
  <c r="R10" i="18"/>
  <c r="R29" i="18"/>
  <c r="R86" i="18"/>
  <c r="R144" i="18"/>
  <c r="Y37" i="18"/>
  <c r="Y18" i="18"/>
  <c r="Y11" i="18"/>
  <c r="Y30" i="18"/>
  <c r="Y12" i="18"/>
  <c r="Y31" i="18"/>
  <c r="Y24" i="18"/>
  <c r="Y81" i="18"/>
  <c r="Y139" i="18"/>
  <c r="Y144" i="18"/>
  <c r="Y99" i="18"/>
  <c r="Y25" i="18"/>
  <c r="Y41" i="18"/>
  <c r="Y158" i="18"/>
  <c r="Y61" i="18"/>
  <c r="Y80" i="18"/>
  <c r="Y60" i="18"/>
  <c r="Y17" i="18"/>
  <c r="Y157" i="18"/>
  <c r="Y38" i="18"/>
  <c r="Y138" i="18"/>
  <c r="Y42" i="18"/>
  <c r="Y100" i="18"/>
  <c r="W10" i="17"/>
  <c r="R139" i="18"/>
  <c r="R94" i="18"/>
  <c r="R74" i="18"/>
  <c r="R153" i="18"/>
  <c r="R121" i="18"/>
  <c r="R69" i="18"/>
  <c r="R135" i="18"/>
  <c r="R115" i="18"/>
  <c r="R51" i="18"/>
  <c r="R97" i="18"/>
  <c r="Y14" i="18"/>
  <c r="Y121" i="18"/>
  <c r="Y101" i="18"/>
  <c r="Y82" i="18"/>
  <c r="Y56" i="18"/>
  <c r="Y141" i="18"/>
  <c r="Y89" i="18"/>
  <c r="Y57" i="18"/>
  <c r="Y110" i="18"/>
  <c r="Y84" i="18"/>
  <c r="Y124" i="18"/>
  <c r="Y98" i="18"/>
  <c r="Y32" i="18"/>
  <c r="Y87" i="18"/>
  <c r="Y107" i="18"/>
  <c r="R151" i="18"/>
  <c r="L52" i="25"/>
  <c r="N52" i="25"/>
  <c r="K141" i="45"/>
  <c r="W18" i="17"/>
  <c r="K29" i="17"/>
  <c r="K33" i="17"/>
  <c r="K68" i="17"/>
  <c r="K72" i="17"/>
  <c r="K76" i="17"/>
  <c r="K111" i="17"/>
  <c r="K115" i="17"/>
  <c r="K150" i="17"/>
  <c r="K154" i="17"/>
  <c r="K158" i="17"/>
  <c r="K151" i="17"/>
  <c r="K144" i="17"/>
  <c r="K140" i="17"/>
  <c r="K136" i="17"/>
  <c r="K101" i="17"/>
  <c r="K97" i="17"/>
  <c r="K62" i="17"/>
  <c r="K58" i="17"/>
  <c r="K54" i="17"/>
  <c r="W12" i="16"/>
  <c r="R14" i="18"/>
  <c r="R41" i="18"/>
  <c r="R60" i="18"/>
  <c r="Y94" i="18"/>
  <c r="Y113" i="18"/>
  <c r="R138" i="18"/>
  <c r="R55" i="18"/>
  <c r="R101" i="18"/>
  <c r="R82" i="18"/>
  <c r="R154" i="18"/>
  <c r="R96" i="18"/>
  <c r="R70" i="18"/>
  <c r="R149" i="18"/>
  <c r="R129" i="18"/>
  <c r="R65" i="18"/>
  <c r="R45" i="18"/>
  <c r="Y125" i="18"/>
  <c r="R150" i="18"/>
  <c r="Y140" i="18"/>
  <c r="Y114" i="18"/>
  <c r="Y95" i="18"/>
  <c r="Y122" i="18"/>
  <c r="Y102" i="18"/>
  <c r="Y142" i="18"/>
  <c r="Y123" i="18"/>
  <c r="Y58" i="18"/>
  <c r="Y156" i="18"/>
  <c r="Y137" i="18"/>
  <c r="Y72" i="18"/>
  <c r="Y53" i="18"/>
  <c r="R12" i="18"/>
  <c r="R18" i="18"/>
  <c r="Y126" i="18"/>
  <c r="Y145" i="18"/>
  <c r="J109" i="33"/>
  <c r="K137" i="45"/>
  <c r="K144" i="45"/>
  <c r="K139" i="45"/>
  <c r="K121" i="3"/>
  <c r="J121" i="3"/>
  <c r="K132" i="3"/>
  <c r="J132" i="3"/>
  <c r="K129" i="3"/>
  <c r="J129" i="3"/>
  <c r="K118" i="3"/>
  <c r="J118" i="3"/>
  <c r="K115" i="3"/>
  <c r="J115" i="3"/>
  <c r="J126" i="3"/>
  <c r="K126" i="3"/>
  <c r="K18" i="2"/>
  <c r="J18" i="2"/>
  <c r="J44" i="2"/>
  <c r="K44" i="2"/>
  <c r="F87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C73" i="10"/>
  <c r="D74" i="10" s="1"/>
  <c r="F86" i="10"/>
  <c r="K70" i="2"/>
  <c r="J70" i="2"/>
  <c r="H85" i="8"/>
  <c r="H84" i="8"/>
  <c r="H83" i="8"/>
  <c r="H82" i="8"/>
  <c r="H81" i="8"/>
  <c r="H80" i="8"/>
  <c r="H79" i="8"/>
  <c r="H78" i="8"/>
  <c r="H77" i="8"/>
  <c r="H76" i="8"/>
  <c r="H75" i="8"/>
  <c r="H86" i="8"/>
  <c r="H74" i="8"/>
  <c r="F284" i="8"/>
  <c r="F263" i="8"/>
  <c r="F239" i="8"/>
  <c r="F238" i="8"/>
  <c r="F237" i="8"/>
  <c r="F236" i="8"/>
  <c r="F235" i="8"/>
  <c r="F234" i="8"/>
  <c r="F233" i="8"/>
  <c r="F232" i="8"/>
  <c r="F231" i="8"/>
  <c r="F230" i="8"/>
  <c r="F229" i="8"/>
  <c r="F218" i="8"/>
  <c r="F197" i="8"/>
  <c r="F173" i="8"/>
  <c r="F172" i="8"/>
  <c r="F171" i="8"/>
  <c r="F170" i="8"/>
  <c r="F169" i="8"/>
  <c r="F168" i="8"/>
  <c r="F167" i="8"/>
  <c r="F166" i="8"/>
  <c r="F165" i="8"/>
  <c r="F164" i="8"/>
  <c r="F163" i="8"/>
  <c r="F152" i="8"/>
  <c r="F131" i="8"/>
  <c r="F107" i="8"/>
  <c r="F106" i="8"/>
  <c r="F105" i="8"/>
  <c r="F104" i="8"/>
  <c r="F103" i="8"/>
  <c r="F102" i="8"/>
  <c r="F101" i="8"/>
  <c r="F100" i="8"/>
  <c r="F99" i="8"/>
  <c r="F98" i="8"/>
  <c r="F97" i="8"/>
  <c r="F19" i="8"/>
  <c r="F18" i="8"/>
  <c r="F17" i="8"/>
  <c r="F16" i="8"/>
  <c r="F15" i="8"/>
  <c r="F14" i="8"/>
  <c r="F13" i="8"/>
  <c r="F12" i="8"/>
  <c r="F11" i="8"/>
  <c r="F10" i="8"/>
  <c r="F9" i="8"/>
  <c r="E227" i="8"/>
  <c r="F228" i="8" s="1"/>
  <c r="E161" i="8"/>
  <c r="F162" i="8" s="1"/>
  <c r="E95" i="8"/>
  <c r="F96" i="8" s="1"/>
  <c r="E51" i="8"/>
  <c r="F43" i="8"/>
  <c r="F8" i="8"/>
  <c r="F285" i="8"/>
  <c r="F261" i="8"/>
  <c r="F260" i="8"/>
  <c r="F259" i="8"/>
  <c r="F258" i="8"/>
  <c r="F257" i="8"/>
  <c r="F256" i="8"/>
  <c r="F255" i="8"/>
  <c r="F254" i="8"/>
  <c r="F253" i="8"/>
  <c r="F252" i="8"/>
  <c r="F251" i="8"/>
  <c r="F240" i="8"/>
  <c r="F219" i="8"/>
  <c r="F195" i="8"/>
  <c r="F194" i="8"/>
  <c r="F193" i="8"/>
  <c r="F192" i="8"/>
  <c r="F191" i="8"/>
  <c r="F190" i="8"/>
  <c r="F189" i="8"/>
  <c r="F188" i="8"/>
  <c r="F187" i="8"/>
  <c r="F186" i="8"/>
  <c r="F185" i="8"/>
  <c r="F174" i="8"/>
  <c r="F153" i="8"/>
  <c r="F129" i="8"/>
  <c r="F128" i="8"/>
  <c r="F127" i="8"/>
  <c r="F126" i="8"/>
  <c r="F125" i="8"/>
  <c r="F124" i="8"/>
  <c r="F123" i="8"/>
  <c r="F122" i="8"/>
  <c r="F121" i="8"/>
  <c r="F120" i="8"/>
  <c r="F119" i="8"/>
  <c r="F108" i="8"/>
  <c r="F20" i="8"/>
  <c r="C7" i="8"/>
  <c r="E249" i="8"/>
  <c r="F250" i="8" s="1"/>
  <c r="E183" i="8"/>
  <c r="F184" i="8" s="1"/>
  <c r="E117" i="8"/>
  <c r="F118" i="8" s="1"/>
  <c r="F41" i="8"/>
  <c r="F40" i="8"/>
  <c r="F39" i="8"/>
  <c r="F38" i="8"/>
  <c r="F37" i="8"/>
  <c r="F36" i="8"/>
  <c r="F35" i="8"/>
  <c r="F34" i="8"/>
  <c r="F33" i="8"/>
  <c r="F32" i="8"/>
  <c r="F31" i="8"/>
  <c r="F175" i="8"/>
  <c r="E139" i="8"/>
  <c r="F140" i="8" s="1"/>
  <c r="F42" i="8"/>
  <c r="F280" i="8"/>
  <c r="F274" i="8"/>
  <c r="F262" i="8"/>
  <c r="F149" i="8"/>
  <c r="F146" i="8"/>
  <c r="F281" i="8"/>
  <c r="F278" i="8"/>
  <c r="F275" i="8"/>
  <c r="F217" i="8"/>
  <c r="F214" i="8"/>
  <c r="F211" i="8"/>
  <c r="F208" i="8"/>
  <c r="F196" i="8"/>
  <c r="F150" i="8"/>
  <c r="F147" i="8"/>
  <c r="F144" i="8"/>
  <c r="F141" i="8"/>
  <c r="E73" i="8"/>
  <c r="F241" i="8"/>
  <c r="F283" i="8"/>
  <c r="F277" i="8"/>
  <c r="F216" i="8"/>
  <c r="F213" i="8"/>
  <c r="E271" i="8"/>
  <c r="F272" i="8" s="1"/>
  <c r="F109" i="8"/>
  <c r="E205" i="8"/>
  <c r="F206" i="8" s="1"/>
  <c r="F21" i="8"/>
  <c r="F210" i="8"/>
  <c r="F282" i="8"/>
  <c r="F279" i="8"/>
  <c r="F276" i="8"/>
  <c r="F273" i="8"/>
  <c r="F215" i="8"/>
  <c r="F212" i="8"/>
  <c r="F209" i="8"/>
  <c r="F151" i="8"/>
  <c r="F148" i="8"/>
  <c r="F145" i="8"/>
  <c r="F142" i="8"/>
  <c r="F130" i="8"/>
  <c r="F207" i="8"/>
  <c r="F143" i="8"/>
  <c r="E29" i="8"/>
  <c r="F30" i="8" s="1"/>
  <c r="H64" i="8"/>
  <c r="H52" i="8"/>
  <c r="H65" i="8"/>
  <c r="H63" i="8"/>
  <c r="H60" i="8"/>
  <c r="H57" i="8"/>
  <c r="H54" i="8"/>
  <c r="H87" i="8"/>
  <c r="H62" i="8"/>
  <c r="H61" i="8"/>
  <c r="H58" i="8"/>
  <c r="H55" i="8"/>
  <c r="H53" i="8"/>
  <c r="H59" i="8"/>
  <c r="H56" i="8"/>
  <c r="H64" i="10"/>
  <c r="H52" i="10"/>
  <c r="E51" i="10"/>
  <c r="H65" i="10"/>
  <c r="H56" i="10"/>
  <c r="H61" i="10"/>
  <c r="H58" i="10"/>
  <c r="H55" i="10"/>
  <c r="H59" i="10"/>
  <c r="H53" i="10"/>
  <c r="H63" i="10"/>
  <c r="H60" i="10"/>
  <c r="H57" i="10"/>
  <c r="H54" i="10"/>
  <c r="H62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108" i="10"/>
  <c r="F109" i="10"/>
  <c r="C95" i="10"/>
  <c r="D96" i="10" s="1"/>
  <c r="K42" i="2"/>
  <c r="J42" i="2"/>
  <c r="J45" i="2"/>
  <c r="K45" i="2"/>
  <c r="J125" i="3"/>
  <c r="K125" i="3"/>
  <c r="J114" i="3"/>
  <c r="K114" i="3"/>
  <c r="K128" i="3"/>
  <c r="J128" i="3"/>
  <c r="K117" i="3"/>
  <c r="J117" i="3"/>
  <c r="J131" i="3"/>
  <c r="K131" i="3"/>
  <c r="K120" i="3"/>
  <c r="J120" i="3"/>
  <c r="K123" i="3"/>
  <c r="J123" i="3"/>
  <c r="K134" i="3"/>
  <c r="J134" i="3"/>
  <c r="K199" i="3"/>
  <c r="J199" i="3"/>
  <c r="J188" i="3"/>
  <c r="K188" i="3"/>
  <c r="K191" i="3"/>
  <c r="J191" i="3"/>
  <c r="K202" i="3"/>
  <c r="J202" i="3"/>
  <c r="D8" i="10"/>
  <c r="K71" i="2"/>
  <c r="J71" i="2"/>
  <c r="J68" i="2"/>
  <c r="K68" i="2"/>
  <c r="K124" i="3"/>
  <c r="J124" i="3"/>
  <c r="J113" i="3"/>
  <c r="K113" i="3"/>
  <c r="K116" i="3"/>
  <c r="J116" i="3"/>
  <c r="K127" i="3"/>
  <c r="J127" i="3"/>
  <c r="K130" i="3"/>
  <c r="J130" i="3"/>
  <c r="J119" i="3"/>
  <c r="K119" i="3"/>
  <c r="K122" i="3"/>
  <c r="J122" i="3"/>
  <c r="K133" i="3"/>
  <c r="J133" i="3"/>
  <c r="J206" i="3"/>
  <c r="K206" i="3"/>
  <c r="J195" i="3"/>
  <c r="K195" i="3"/>
  <c r="K203" i="3"/>
  <c r="J203" i="3"/>
  <c r="K192" i="3"/>
  <c r="J192" i="3"/>
  <c r="J200" i="3"/>
  <c r="K200" i="3"/>
  <c r="K189" i="3"/>
  <c r="J189" i="3"/>
  <c r="K197" i="3"/>
  <c r="J197" i="3"/>
  <c r="K186" i="3"/>
  <c r="J186" i="3"/>
  <c r="K198" i="3"/>
  <c r="J198" i="3"/>
  <c r="K187" i="3"/>
  <c r="J187" i="3"/>
  <c r="K190" i="3"/>
  <c r="J190" i="3"/>
  <c r="K201" i="3"/>
  <c r="J201" i="3"/>
  <c r="K204" i="3"/>
  <c r="J204" i="3"/>
  <c r="K193" i="3"/>
  <c r="J193" i="3"/>
  <c r="K196" i="3"/>
  <c r="J196" i="3"/>
  <c r="J207" i="3"/>
  <c r="K207" i="3"/>
  <c r="F43" i="10"/>
  <c r="F41" i="10"/>
  <c r="F40" i="10"/>
  <c r="F39" i="10"/>
  <c r="F38" i="10"/>
  <c r="F37" i="10"/>
  <c r="F36" i="10"/>
  <c r="F35" i="10"/>
  <c r="F34" i="10"/>
  <c r="F33" i="10"/>
  <c r="F32" i="10"/>
  <c r="F31" i="10"/>
  <c r="F42" i="10"/>
  <c r="C29" i="10"/>
  <c r="F30" i="10"/>
  <c r="K133" i="16"/>
  <c r="J133" i="16"/>
  <c r="I133" i="16"/>
  <c r="I54" i="12"/>
  <c r="L54" i="12"/>
  <c r="K54" i="12"/>
  <c r="J54" i="12"/>
  <c r="S23" i="14"/>
  <c r="T23" i="14"/>
  <c r="I107" i="16"/>
  <c r="K107" i="16"/>
  <c r="J107" i="16"/>
  <c r="K161" i="16"/>
  <c r="J161" i="16"/>
  <c r="I161" i="16"/>
  <c r="K56" i="12"/>
  <c r="J56" i="12"/>
  <c r="I56" i="12"/>
  <c r="L56" i="12"/>
  <c r="K53" i="12"/>
  <c r="H57" i="12"/>
  <c r="J53" i="12"/>
  <c r="I53" i="12"/>
  <c r="L53" i="12"/>
  <c r="K149" i="16"/>
  <c r="J149" i="16"/>
  <c r="I149" i="16"/>
  <c r="I147" i="16"/>
  <c r="K147" i="16"/>
  <c r="J147" i="16"/>
  <c r="K121" i="16"/>
  <c r="J121" i="16"/>
  <c r="I121" i="16"/>
  <c r="I119" i="16"/>
  <c r="K119" i="16"/>
  <c r="J119" i="16"/>
  <c r="K93" i="16"/>
  <c r="J93" i="16"/>
  <c r="I93" i="16"/>
  <c r="K79" i="16"/>
  <c r="J79" i="16"/>
  <c r="I79" i="16"/>
  <c r="K77" i="16"/>
  <c r="J77" i="16"/>
  <c r="I77" i="16"/>
  <c r="K51" i="16"/>
  <c r="J51" i="16"/>
  <c r="I51" i="16"/>
  <c r="K49" i="16"/>
  <c r="J49" i="16"/>
  <c r="I49" i="16"/>
  <c r="K23" i="16"/>
  <c r="J23" i="16"/>
  <c r="I23" i="16"/>
  <c r="I91" i="16"/>
  <c r="K91" i="16"/>
  <c r="J91" i="16"/>
  <c r="K65" i="16"/>
  <c r="J65" i="16"/>
  <c r="I65" i="16"/>
  <c r="K63" i="16"/>
  <c r="J63" i="16"/>
  <c r="I63" i="16"/>
  <c r="K37" i="16"/>
  <c r="J37" i="16"/>
  <c r="I37" i="16"/>
  <c r="K35" i="16"/>
  <c r="J35" i="16"/>
  <c r="I35" i="16"/>
  <c r="K21" i="16"/>
  <c r="J21" i="16"/>
  <c r="I21" i="16"/>
  <c r="K9" i="16"/>
  <c r="J9" i="16"/>
  <c r="I9" i="16"/>
  <c r="Y21" i="15"/>
  <c r="X21" i="15"/>
  <c r="W21" i="15"/>
  <c r="M77" i="15"/>
  <c r="L77" i="15"/>
  <c r="K77" i="15"/>
  <c r="J77" i="15"/>
  <c r="I77" i="15"/>
  <c r="M161" i="15"/>
  <c r="L161" i="15"/>
  <c r="K161" i="15"/>
  <c r="J161" i="15"/>
  <c r="I161" i="15"/>
  <c r="K9" i="17"/>
  <c r="J9" i="17"/>
  <c r="I9" i="17"/>
  <c r="K21" i="17"/>
  <c r="J21" i="17"/>
  <c r="I21" i="17"/>
  <c r="K35" i="17"/>
  <c r="J35" i="17"/>
  <c r="I35" i="17"/>
  <c r="I37" i="17"/>
  <c r="J37" i="17"/>
  <c r="K37" i="17"/>
  <c r="K63" i="17"/>
  <c r="J63" i="17"/>
  <c r="I63" i="17"/>
  <c r="I65" i="17"/>
  <c r="J65" i="17"/>
  <c r="K65" i="17"/>
  <c r="K91" i="17"/>
  <c r="J91" i="17"/>
  <c r="I91" i="17"/>
  <c r="I93" i="17"/>
  <c r="J93" i="17"/>
  <c r="K93" i="17"/>
  <c r="K119" i="17"/>
  <c r="J119" i="17"/>
  <c r="I119" i="17"/>
  <c r="I121" i="17"/>
  <c r="J121" i="17"/>
  <c r="K121" i="17"/>
  <c r="K147" i="17"/>
  <c r="J147" i="17"/>
  <c r="I147" i="17"/>
  <c r="I149" i="17"/>
  <c r="J149" i="17"/>
  <c r="K149" i="17"/>
  <c r="J107" i="19"/>
  <c r="H107" i="19"/>
  <c r="I161" i="17"/>
  <c r="J161" i="17"/>
  <c r="K161" i="17"/>
  <c r="K135" i="17"/>
  <c r="J135" i="17"/>
  <c r="I135" i="17"/>
  <c r="I133" i="17"/>
  <c r="J133" i="17"/>
  <c r="K133" i="17"/>
  <c r="K107" i="17"/>
  <c r="J107" i="17"/>
  <c r="I107" i="17"/>
  <c r="I105" i="17"/>
  <c r="J105" i="17"/>
  <c r="K105" i="17"/>
  <c r="K79" i="17"/>
  <c r="J79" i="17"/>
  <c r="I79" i="17"/>
  <c r="I77" i="17"/>
  <c r="J77" i="17"/>
  <c r="K77" i="17"/>
  <c r="K51" i="17"/>
  <c r="J51" i="17"/>
  <c r="I51" i="17"/>
  <c r="I49" i="17"/>
  <c r="J49" i="17"/>
  <c r="K49" i="17"/>
  <c r="K23" i="17"/>
  <c r="J23" i="17"/>
  <c r="I23" i="17"/>
  <c r="J105" i="19"/>
  <c r="H105" i="19"/>
  <c r="J93" i="19"/>
  <c r="H93" i="19"/>
  <c r="J63" i="19"/>
  <c r="H63" i="19"/>
  <c r="J51" i="19"/>
  <c r="H51" i="19"/>
  <c r="E161" i="19"/>
  <c r="E149" i="19"/>
  <c r="E147" i="19"/>
  <c r="E135" i="19"/>
  <c r="E133" i="19"/>
  <c r="E121" i="19"/>
  <c r="E119" i="19"/>
  <c r="E107" i="19"/>
  <c r="E105" i="19"/>
  <c r="E93" i="19"/>
  <c r="E91" i="19"/>
  <c r="E79" i="19"/>
  <c r="E77" i="19"/>
  <c r="E65" i="19"/>
  <c r="E63" i="19"/>
  <c r="E51" i="19"/>
  <c r="E49" i="19"/>
  <c r="E37" i="19"/>
  <c r="E35" i="19"/>
  <c r="E23" i="19"/>
  <c r="E21" i="19"/>
  <c r="E9" i="19"/>
  <c r="D7" i="19"/>
  <c r="J147" i="19"/>
  <c r="H147" i="19"/>
  <c r="J135" i="19"/>
  <c r="H135" i="19"/>
  <c r="J133" i="19"/>
  <c r="H133" i="19"/>
  <c r="J121" i="19"/>
  <c r="H121" i="19"/>
  <c r="J91" i="19"/>
  <c r="H91" i="19"/>
  <c r="J79" i="19"/>
  <c r="H79" i="19"/>
  <c r="J49" i="19"/>
  <c r="H49" i="19"/>
  <c r="J37" i="19"/>
  <c r="H37" i="19"/>
  <c r="J65" i="19"/>
  <c r="H65" i="19"/>
  <c r="J35" i="19"/>
  <c r="H35" i="19"/>
  <c r="J149" i="19"/>
  <c r="H149" i="19"/>
  <c r="J119" i="19"/>
  <c r="H119" i="19"/>
  <c r="J23" i="19"/>
  <c r="H23" i="19"/>
  <c r="J21" i="19"/>
  <c r="H21" i="19"/>
  <c r="J9" i="19"/>
  <c r="H9" i="19"/>
  <c r="K49" i="15"/>
  <c r="J49" i="15"/>
  <c r="I49" i="15"/>
  <c r="L49" i="15"/>
  <c r="M49" i="15"/>
  <c r="K133" i="15"/>
  <c r="J133" i="15"/>
  <c r="I133" i="15"/>
  <c r="M133" i="15"/>
  <c r="L133" i="15"/>
  <c r="J35" i="15"/>
  <c r="I35" i="15"/>
  <c r="M35" i="15"/>
  <c r="K35" i="15"/>
  <c r="L35" i="15"/>
  <c r="J119" i="15"/>
  <c r="I119" i="15"/>
  <c r="M119" i="15"/>
  <c r="L119" i="15"/>
  <c r="K119" i="15"/>
  <c r="W9" i="16"/>
  <c r="V9" i="16"/>
  <c r="U9" i="16"/>
  <c r="W21" i="16"/>
  <c r="V21" i="16"/>
  <c r="U21" i="16"/>
  <c r="J132" i="18"/>
  <c r="I132" i="18"/>
  <c r="J78" i="18"/>
  <c r="I78" i="18"/>
  <c r="J146" i="18"/>
  <c r="I146" i="18"/>
  <c r="J92" i="18"/>
  <c r="I92" i="18"/>
  <c r="J62" i="18"/>
  <c r="I62" i="18"/>
  <c r="J160" i="18"/>
  <c r="I160" i="18"/>
  <c r="I106" i="18"/>
  <c r="J106" i="18"/>
  <c r="J76" i="18"/>
  <c r="I76" i="18"/>
  <c r="J120" i="18"/>
  <c r="I120" i="18"/>
  <c r="J90" i="18"/>
  <c r="I90" i="18"/>
  <c r="R8" i="18"/>
  <c r="Q8" i="18"/>
  <c r="Y22" i="18"/>
  <c r="X22" i="18"/>
  <c r="J34" i="18"/>
  <c r="I34" i="18"/>
  <c r="Y62" i="18"/>
  <c r="X62" i="18"/>
  <c r="R78" i="18"/>
  <c r="Q78" i="18"/>
  <c r="Y92" i="18"/>
  <c r="X92" i="18"/>
  <c r="J104" i="18"/>
  <c r="I104" i="18"/>
  <c r="J134" i="18"/>
  <c r="I134" i="18"/>
  <c r="X8" i="18"/>
  <c r="Y8" i="18"/>
  <c r="J20" i="18"/>
  <c r="I20" i="18"/>
  <c r="Q146" i="18"/>
  <c r="R146" i="18"/>
  <c r="X160" i="18"/>
  <c r="Y160" i="18"/>
  <c r="L133" i="19"/>
  <c r="L121" i="19"/>
  <c r="L119" i="19"/>
  <c r="L107" i="19"/>
  <c r="L105" i="19"/>
  <c r="L93" i="19"/>
  <c r="L91" i="19"/>
  <c r="L79" i="19"/>
  <c r="L77" i="19"/>
  <c r="L65" i="19"/>
  <c r="L63" i="19"/>
  <c r="L51" i="19"/>
  <c r="L49" i="19"/>
  <c r="L37" i="19"/>
  <c r="L35" i="19"/>
  <c r="L23" i="19"/>
  <c r="L161" i="19"/>
  <c r="L149" i="19"/>
  <c r="L147" i="19"/>
  <c r="L135" i="19"/>
  <c r="L21" i="19"/>
  <c r="L9" i="19"/>
  <c r="K7" i="19"/>
  <c r="T161" i="19"/>
  <c r="T149" i="19"/>
  <c r="T147" i="19"/>
  <c r="T135" i="19"/>
  <c r="T105" i="19"/>
  <c r="T93" i="19"/>
  <c r="T63" i="19"/>
  <c r="T51" i="19"/>
  <c r="T133" i="19"/>
  <c r="T121" i="19"/>
  <c r="T91" i="19"/>
  <c r="T79" i="19"/>
  <c r="T49" i="19"/>
  <c r="T37" i="19"/>
  <c r="T119" i="19"/>
  <c r="T23" i="19"/>
  <c r="T107" i="19"/>
  <c r="T77" i="19"/>
  <c r="T21" i="19"/>
  <c r="T65" i="19"/>
  <c r="T9" i="19"/>
  <c r="S7" i="19"/>
  <c r="T35" i="19"/>
  <c r="U9" i="19"/>
  <c r="Z10" i="19"/>
  <c r="U21" i="19"/>
  <c r="Z21" i="19" s="1"/>
  <c r="Z13" i="19"/>
  <c r="U23" i="19"/>
  <c r="Z23" i="19" s="1"/>
  <c r="Z24" i="19"/>
  <c r="U35" i="19"/>
  <c r="Z35" i="19" s="1"/>
  <c r="Z27" i="19"/>
  <c r="U37" i="19"/>
  <c r="Z37" i="19" s="1"/>
  <c r="Z38" i="19"/>
  <c r="U49" i="19"/>
  <c r="Z49" i="19" s="1"/>
  <c r="Z41" i="19"/>
  <c r="U51" i="19"/>
  <c r="Z51" i="19" s="1"/>
  <c r="Z52" i="19"/>
  <c r="U63" i="19"/>
  <c r="Z63" i="19" s="1"/>
  <c r="Z55" i="19"/>
  <c r="U65" i="19"/>
  <c r="Z65" i="19" s="1"/>
  <c r="Z66" i="19"/>
  <c r="U77" i="19"/>
  <c r="Z77" i="19" s="1"/>
  <c r="Z69" i="19"/>
  <c r="U79" i="19"/>
  <c r="Z79" i="19" s="1"/>
  <c r="Z80" i="19"/>
  <c r="U91" i="19"/>
  <c r="Z91" i="19" s="1"/>
  <c r="Z83" i="19"/>
  <c r="U93" i="19"/>
  <c r="Z93" i="19" s="1"/>
  <c r="Z94" i="19"/>
  <c r="U105" i="19"/>
  <c r="Z105" i="19" s="1"/>
  <c r="Z97" i="19"/>
  <c r="U107" i="19"/>
  <c r="Z107" i="19" s="1"/>
  <c r="Z108" i="19"/>
  <c r="U119" i="19"/>
  <c r="Z119" i="19" s="1"/>
  <c r="Z111" i="19"/>
  <c r="U121" i="19"/>
  <c r="Z121" i="19" s="1"/>
  <c r="Z122" i="19"/>
  <c r="U133" i="19"/>
  <c r="Z133" i="19" s="1"/>
  <c r="Z125" i="19"/>
  <c r="U135" i="19"/>
  <c r="Z135" i="19" s="1"/>
  <c r="Z136" i="19"/>
  <c r="U147" i="19"/>
  <c r="Z147" i="19" s="1"/>
  <c r="Z139" i="19"/>
  <c r="U149" i="19"/>
  <c r="Z149" i="19" s="1"/>
  <c r="Z150" i="19"/>
  <c r="U161" i="19"/>
  <c r="Z161" i="19" s="1"/>
  <c r="Z153" i="19"/>
  <c r="U9" i="17"/>
  <c r="V9" i="17"/>
  <c r="W9" i="17"/>
  <c r="U21" i="17"/>
  <c r="V21" i="17"/>
  <c r="W21" i="17"/>
  <c r="R160" i="18"/>
  <c r="Q160" i="18"/>
  <c r="R106" i="18"/>
  <c r="Q106" i="18"/>
  <c r="R76" i="18"/>
  <c r="Q76" i="18"/>
  <c r="Q120" i="18"/>
  <c r="R120" i="18"/>
  <c r="R90" i="18"/>
  <c r="Q90" i="18"/>
  <c r="Q134" i="18"/>
  <c r="R134" i="18"/>
  <c r="R104" i="18"/>
  <c r="Q104" i="18"/>
  <c r="Q50" i="18"/>
  <c r="R50" i="18"/>
  <c r="R148" i="18"/>
  <c r="Q148" i="18"/>
  <c r="R118" i="18"/>
  <c r="Q118" i="18"/>
  <c r="R64" i="18"/>
  <c r="Q64" i="18"/>
  <c r="R34" i="18"/>
  <c r="Q34" i="18"/>
  <c r="J36" i="18"/>
  <c r="I36" i="18"/>
  <c r="Y48" i="18"/>
  <c r="X48" i="18"/>
  <c r="J50" i="18"/>
  <c r="I50" i="18"/>
  <c r="Y120" i="18"/>
  <c r="X120" i="18"/>
  <c r="Y90" i="18"/>
  <c r="X90" i="18"/>
  <c r="X134" i="18"/>
  <c r="Y134" i="18"/>
  <c r="Y104" i="18"/>
  <c r="X104" i="18"/>
  <c r="Y50" i="18"/>
  <c r="X50" i="18"/>
  <c r="X148" i="18"/>
  <c r="Y148" i="18"/>
  <c r="Y118" i="18"/>
  <c r="X118" i="18"/>
  <c r="X64" i="18"/>
  <c r="Y64" i="18"/>
  <c r="Y132" i="18"/>
  <c r="X132" i="18"/>
  <c r="Y78" i="18"/>
  <c r="X78" i="18"/>
  <c r="R20" i="18"/>
  <c r="Q20" i="18"/>
  <c r="J22" i="18"/>
  <c r="I22" i="18"/>
  <c r="Y34" i="18"/>
  <c r="X34" i="18"/>
  <c r="Q62" i="18"/>
  <c r="R62" i="18"/>
  <c r="X76" i="18"/>
  <c r="Y76" i="18"/>
  <c r="R92" i="18"/>
  <c r="Q92" i="18"/>
  <c r="Y106" i="18"/>
  <c r="X106" i="18"/>
  <c r="I118" i="18"/>
  <c r="J118" i="18"/>
  <c r="J148" i="18"/>
  <c r="I148" i="18"/>
  <c r="P161" i="19"/>
  <c r="R161" i="19"/>
  <c r="P149" i="19"/>
  <c r="R149" i="19"/>
  <c r="P147" i="19"/>
  <c r="R147" i="19"/>
  <c r="P135" i="19"/>
  <c r="R135" i="19"/>
  <c r="P133" i="19"/>
  <c r="R133" i="19"/>
  <c r="R121" i="19"/>
  <c r="P121" i="19"/>
  <c r="R119" i="19"/>
  <c r="P119" i="19"/>
  <c r="R107" i="19"/>
  <c r="P107" i="19"/>
  <c r="R105" i="19"/>
  <c r="P105" i="19"/>
  <c r="R93" i="19"/>
  <c r="P93" i="19"/>
  <c r="R91" i="19"/>
  <c r="P91" i="19"/>
  <c r="R79" i="19"/>
  <c r="P79" i="19"/>
  <c r="R77" i="19"/>
  <c r="P77" i="19"/>
  <c r="R65" i="19"/>
  <c r="P65" i="19"/>
  <c r="R63" i="19"/>
  <c r="P63" i="19"/>
  <c r="R51" i="19"/>
  <c r="P51" i="19"/>
  <c r="R49" i="19"/>
  <c r="P49" i="19"/>
  <c r="R37" i="19"/>
  <c r="P37" i="19"/>
  <c r="R35" i="19"/>
  <c r="P35" i="19"/>
  <c r="R23" i="19"/>
  <c r="P23" i="19"/>
  <c r="R9" i="19"/>
  <c r="P9" i="19"/>
  <c r="R21" i="19"/>
  <c r="P21" i="19"/>
  <c r="X133" i="19"/>
  <c r="X121" i="19"/>
  <c r="X119" i="19"/>
  <c r="X107" i="19"/>
  <c r="X105" i="19"/>
  <c r="X93" i="19"/>
  <c r="X91" i="19"/>
  <c r="X79" i="19"/>
  <c r="X77" i="19"/>
  <c r="X65" i="19"/>
  <c r="X63" i="19"/>
  <c r="X51" i="19"/>
  <c r="X49" i="19"/>
  <c r="X37" i="19"/>
  <c r="X35" i="19"/>
  <c r="X23" i="19"/>
  <c r="X9" i="19"/>
  <c r="X21" i="19"/>
  <c r="X149" i="19"/>
  <c r="X161" i="19"/>
  <c r="W21" i="22"/>
  <c r="V21" i="22"/>
  <c r="X21" i="22"/>
  <c r="I22" i="21"/>
  <c r="H22" i="21"/>
  <c r="H64" i="21"/>
  <c r="I64" i="21"/>
  <c r="H148" i="21"/>
  <c r="I148" i="21"/>
  <c r="R22" i="21"/>
  <c r="Q22" i="21"/>
  <c r="I78" i="21"/>
  <c r="H78" i="21"/>
  <c r="I162" i="21"/>
  <c r="H162" i="21"/>
  <c r="L49" i="22"/>
  <c r="K49" i="22"/>
  <c r="J49" i="22"/>
  <c r="L91" i="22"/>
  <c r="J91" i="22"/>
  <c r="K91" i="22"/>
  <c r="L133" i="22"/>
  <c r="K133" i="22"/>
  <c r="J133" i="22"/>
  <c r="I92" i="21"/>
  <c r="H92" i="21"/>
  <c r="L21" i="22"/>
  <c r="K21" i="22"/>
  <c r="J21" i="22"/>
  <c r="J85" i="24"/>
  <c r="J84" i="24"/>
  <c r="J83" i="24"/>
  <c r="J82" i="24"/>
  <c r="J81" i="24"/>
  <c r="J80" i="24"/>
  <c r="J79" i="24"/>
  <c r="J78" i="24"/>
  <c r="J77" i="24"/>
  <c r="J76" i="24"/>
  <c r="J75" i="24"/>
  <c r="J86" i="24"/>
  <c r="G73" i="24"/>
  <c r="G29" i="24"/>
  <c r="G205" i="24"/>
  <c r="G161" i="24"/>
  <c r="G227" i="24"/>
  <c r="G253" i="24"/>
  <c r="G183" i="24"/>
  <c r="G117" i="24"/>
  <c r="G51" i="24"/>
  <c r="G139" i="24"/>
  <c r="G95" i="24"/>
  <c r="E7" i="24"/>
  <c r="H8" i="24" s="1"/>
  <c r="J87" i="24"/>
  <c r="J63" i="24"/>
  <c r="J62" i="24"/>
  <c r="J61" i="24"/>
  <c r="J60" i="24"/>
  <c r="J59" i="24"/>
  <c r="J58" i="24"/>
  <c r="J57" i="24"/>
  <c r="J56" i="24"/>
  <c r="J55" i="24"/>
  <c r="J54" i="24"/>
  <c r="J53" i="24"/>
  <c r="J64" i="24"/>
  <c r="J65" i="24"/>
  <c r="L119" i="22"/>
  <c r="K119" i="22"/>
  <c r="J119" i="22"/>
  <c r="K161" i="22"/>
  <c r="L161" i="22"/>
  <c r="J161" i="22"/>
  <c r="L108" i="25"/>
  <c r="L64" i="25"/>
  <c r="L109" i="25"/>
  <c r="L65" i="25"/>
  <c r="L86" i="25"/>
  <c r="L42" i="25"/>
  <c r="L107" i="25"/>
  <c r="L106" i="25"/>
  <c r="L105" i="25"/>
  <c r="L104" i="25"/>
  <c r="L103" i="25"/>
  <c r="L102" i="25"/>
  <c r="L101" i="25"/>
  <c r="L100" i="25"/>
  <c r="L99" i="25"/>
  <c r="L98" i="25"/>
  <c r="L97" i="25"/>
  <c r="L63" i="25"/>
  <c r="L62" i="25"/>
  <c r="L61" i="25"/>
  <c r="L60" i="25"/>
  <c r="L59" i="25"/>
  <c r="L58" i="25"/>
  <c r="L57" i="25"/>
  <c r="L56" i="25"/>
  <c r="L55" i="25"/>
  <c r="L54" i="25"/>
  <c r="L53" i="25"/>
  <c r="L83" i="25"/>
  <c r="L80" i="25"/>
  <c r="L77" i="25"/>
  <c r="L43" i="25"/>
  <c r="L84" i="25"/>
  <c r="L81" i="25"/>
  <c r="L78" i="25"/>
  <c r="L75" i="25"/>
  <c r="L87" i="25"/>
  <c r="L39" i="25"/>
  <c r="L36" i="25"/>
  <c r="L33" i="25"/>
  <c r="L85" i="25"/>
  <c r="L82" i="25"/>
  <c r="L79" i="25"/>
  <c r="L76" i="25"/>
  <c r="L40" i="25"/>
  <c r="L37" i="25"/>
  <c r="L34" i="25"/>
  <c r="L31" i="25"/>
  <c r="L41" i="25"/>
  <c r="L32" i="25"/>
  <c r="L38" i="25"/>
  <c r="L35" i="25"/>
  <c r="I73" i="25"/>
  <c r="L74" i="25" s="1"/>
  <c r="I29" i="25"/>
  <c r="L30" i="25" s="1"/>
  <c r="I95" i="25"/>
  <c r="L96" i="25" s="1"/>
  <c r="I51" i="25"/>
  <c r="J8" i="25"/>
  <c r="G7" i="25"/>
  <c r="J146" i="26"/>
  <c r="K146" i="26"/>
  <c r="I146" i="26"/>
  <c r="J118" i="26"/>
  <c r="K118" i="26"/>
  <c r="I118" i="26"/>
  <c r="K34" i="26"/>
  <c r="J34" i="26"/>
  <c r="I34" i="26"/>
  <c r="K62" i="26"/>
  <c r="J62" i="26"/>
  <c r="I62" i="26"/>
  <c r="J90" i="26"/>
  <c r="K90" i="26"/>
  <c r="I90" i="26"/>
  <c r="K160" i="26"/>
  <c r="J160" i="26"/>
  <c r="I160" i="26"/>
  <c r="K132" i="26"/>
  <c r="J132" i="26"/>
  <c r="I132" i="26"/>
  <c r="K48" i="27"/>
  <c r="J48" i="27"/>
  <c r="I48" i="27"/>
  <c r="K76" i="27"/>
  <c r="J76" i="27"/>
  <c r="I76" i="27"/>
  <c r="K104" i="27"/>
  <c r="J104" i="27"/>
  <c r="I104" i="27"/>
  <c r="K132" i="27"/>
  <c r="J132" i="27"/>
  <c r="I132" i="27"/>
  <c r="K76" i="28"/>
  <c r="I76" i="28"/>
  <c r="L76" i="28"/>
  <c r="M76" i="28"/>
  <c r="J76" i="28"/>
  <c r="J160" i="27"/>
  <c r="K160" i="27"/>
  <c r="I160" i="27"/>
  <c r="J132" i="28"/>
  <c r="I132" i="28"/>
  <c r="M132" i="28"/>
  <c r="L132" i="28"/>
  <c r="K132" i="28"/>
  <c r="M146" i="28"/>
  <c r="K146" i="28"/>
  <c r="L146" i="28"/>
  <c r="J146" i="28"/>
  <c r="I146" i="28"/>
  <c r="J62" i="28"/>
  <c r="K62" i="28"/>
  <c r="M62" i="28"/>
  <c r="L62" i="28"/>
  <c r="I62" i="28"/>
  <c r="M90" i="28"/>
  <c r="L90" i="28"/>
  <c r="J90" i="28"/>
  <c r="K90" i="28"/>
  <c r="I90" i="28"/>
  <c r="I160" i="28"/>
  <c r="M160" i="28"/>
  <c r="L160" i="28"/>
  <c r="J160" i="28"/>
  <c r="K160" i="28"/>
  <c r="M104" i="28"/>
  <c r="K104" i="28"/>
  <c r="L104" i="28"/>
  <c r="J104" i="28"/>
  <c r="I104" i="28"/>
  <c r="I118" i="28"/>
  <c r="L118" i="28"/>
  <c r="M118" i="28"/>
  <c r="K118" i="28"/>
  <c r="J118" i="28"/>
  <c r="K20" i="28"/>
  <c r="J20" i="28"/>
  <c r="I20" i="28"/>
  <c r="M20" i="28"/>
  <c r="L20" i="28"/>
  <c r="M34" i="28"/>
  <c r="L34" i="28"/>
  <c r="J34" i="28"/>
  <c r="K34" i="28"/>
  <c r="I34" i="28"/>
  <c r="I48" i="28"/>
  <c r="L48" i="28"/>
  <c r="K48" i="28"/>
  <c r="J48" i="28"/>
  <c r="M48" i="28"/>
  <c r="I34" i="27"/>
  <c r="K34" i="27"/>
  <c r="J34" i="27"/>
  <c r="I62" i="27"/>
  <c r="K62" i="27"/>
  <c r="J62" i="27"/>
  <c r="I90" i="27"/>
  <c r="K90" i="27"/>
  <c r="J90" i="27"/>
  <c r="I118" i="27"/>
  <c r="K118" i="27"/>
  <c r="J118" i="27"/>
  <c r="J146" i="27"/>
  <c r="K146" i="27"/>
  <c r="I146" i="27"/>
  <c r="O146" i="43"/>
  <c r="M146" i="43"/>
  <c r="L146" i="43"/>
  <c r="N146" i="43"/>
  <c r="G129" i="39"/>
  <c r="I129" i="39"/>
  <c r="H129" i="39"/>
  <c r="T16" i="43"/>
  <c r="R16" i="43"/>
  <c r="S16" i="43"/>
  <c r="P16" i="43"/>
  <c r="Q16" i="43"/>
  <c r="H16" i="43"/>
  <c r="J16" i="43"/>
  <c r="I16" i="43"/>
  <c r="N16" i="43"/>
  <c r="L16" i="43"/>
  <c r="M16" i="43"/>
  <c r="O146" i="45"/>
  <c r="N146" i="45"/>
  <c r="M146" i="45"/>
  <c r="L146" i="45"/>
  <c r="I146" i="45"/>
  <c r="H146" i="45"/>
  <c r="K146" i="45" s="1"/>
  <c r="G146" i="45"/>
  <c r="Z9" i="19" l="1"/>
  <c r="Z156" i="19"/>
  <c r="Z145" i="19"/>
  <c r="Z138" i="19"/>
  <c r="Z127" i="19"/>
  <c r="Z116" i="19"/>
  <c r="Z109" i="19"/>
  <c r="Z99" i="19"/>
  <c r="Z88" i="19"/>
  <c r="Z81" i="19"/>
  <c r="Z71" i="19"/>
  <c r="Z60" i="19"/>
  <c r="Z53" i="19"/>
  <c r="Z43" i="19"/>
  <c r="Z32" i="19"/>
  <c r="Z25" i="19"/>
  <c r="Z15" i="19"/>
  <c r="Z140" i="19"/>
  <c r="Z155" i="19"/>
  <c r="Z144" i="19"/>
  <c r="Z137" i="19"/>
  <c r="Z126" i="19"/>
  <c r="Z115" i="19"/>
  <c r="Z104" i="19"/>
  <c r="Z98" i="19"/>
  <c r="Z87" i="19"/>
  <c r="Z76" i="19"/>
  <c r="Z70" i="19"/>
  <c r="Z59" i="19"/>
  <c r="Z48" i="19"/>
  <c r="Z42" i="19"/>
  <c r="Z31" i="19"/>
  <c r="Z20" i="19"/>
  <c r="Z129" i="19"/>
  <c r="Z160" i="19"/>
  <c r="Z154" i="19"/>
  <c r="Z143" i="19"/>
  <c r="Z132" i="19"/>
  <c r="Z124" i="19"/>
  <c r="Z114" i="19"/>
  <c r="Z103" i="19"/>
  <c r="Z96" i="19"/>
  <c r="Z86" i="19"/>
  <c r="Z75" i="19"/>
  <c r="Z68" i="19"/>
  <c r="Z58" i="19"/>
  <c r="Z47" i="19"/>
  <c r="Z40" i="19"/>
  <c r="Z30" i="19"/>
  <c r="Z19" i="19"/>
  <c r="Z14" i="19"/>
  <c r="Z157" i="19"/>
  <c r="Z117" i="19"/>
  <c r="Z110" i="19"/>
  <c r="Z89" i="19"/>
  <c r="Z72" i="19"/>
  <c r="Z159" i="19"/>
  <c r="Z152" i="19"/>
  <c r="Z142" i="19"/>
  <c r="Z131" i="19"/>
  <c r="Z123" i="19"/>
  <c r="Z113" i="19"/>
  <c r="Z102" i="19"/>
  <c r="Z95" i="19"/>
  <c r="Z85" i="19"/>
  <c r="Z74" i="19"/>
  <c r="Z67" i="19"/>
  <c r="Z57" i="19"/>
  <c r="Z46" i="19"/>
  <c r="Z39" i="19"/>
  <c r="Z29" i="19"/>
  <c r="Z18" i="19"/>
  <c r="Z12" i="19"/>
  <c r="Z128" i="19"/>
  <c r="Z158" i="19"/>
  <c r="Z151" i="19"/>
  <c r="Z141" i="19"/>
  <c r="Z130" i="19"/>
  <c r="Z118" i="19"/>
  <c r="Z112" i="19"/>
  <c r="Z101" i="19"/>
  <c r="Z90" i="19"/>
  <c r="Z84" i="19"/>
  <c r="Z73" i="19"/>
  <c r="Z62" i="19"/>
  <c r="Z56" i="19"/>
  <c r="Z45" i="19"/>
  <c r="Z34" i="19"/>
  <c r="Z28" i="19"/>
  <c r="Z17" i="19"/>
  <c r="Z11" i="19"/>
  <c r="Z146" i="19"/>
  <c r="Z100" i="19"/>
  <c r="Z61" i="19"/>
  <c r="Z44" i="19"/>
  <c r="Z33" i="19"/>
  <c r="Z26" i="19"/>
  <c r="Z16" i="19"/>
  <c r="Z82" i="19"/>
  <c r="Z54" i="19"/>
  <c r="J74" i="25"/>
  <c r="G95" i="25"/>
  <c r="J96" i="25" s="1"/>
  <c r="G51" i="25"/>
  <c r="H8" i="25"/>
  <c r="G73" i="25"/>
  <c r="G29" i="25"/>
  <c r="E7" i="25"/>
  <c r="J107" i="25"/>
  <c r="J106" i="25"/>
  <c r="J105" i="25"/>
  <c r="J104" i="25"/>
  <c r="J103" i="25"/>
  <c r="J102" i="25"/>
  <c r="J101" i="25"/>
  <c r="J100" i="25"/>
  <c r="J99" i="25"/>
  <c r="J98" i="25"/>
  <c r="J97" i="25"/>
  <c r="J30" i="25"/>
  <c r="J108" i="25"/>
  <c r="J109" i="25"/>
  <c r="E227" i="24"/>
  <c r="E253" i="24"/>
  <c r="E183" i="24"/>
  <c r="E117" i="24"/>
  <c r="E139" i="24"/>
  <c r="E205" i="24"/>
  <c r="E161" i="24"/>
  <c r="E95" i="24"/>
  <c r="E51" i="24"/>
  <c r="E29" i="24"/>
  <c r="F17" i="24"/>
  <c r="F14" i="24"/>
  <c r="F11" i="24"/>
  <c r="F21" i="24"/>
  <c r="F20" i="24"/>
  <c r="F19" i="24"/>
  <c r="F16" i="24"/>
  <c r="F13" i="24"/>
  <c r="F10" i="24"/>
  <c r="F18" i="24"/>
  <c r="F9" i="24"/>
  <c r="E73" i="24"/>
  <c r="F8" i="24"/>
  <c r="F15" i="24"/>
  <c r="F12" i="24"/>
  <c r="C7" i="24"/>
  <c r="H87" i="24"/>
  <c r="H63" i="24"/>
  <c r="H62" i="24"/>
  <c r="H61" i="24"/>
  <c r="H60" i="24"/>
  <c r="H59" i="24"/>
  <c r="H58" i="24"/>
  <c r="H57" i="24"/>
  <c r="H56" i="24"/>
  <c r="H55" i="24"/>
  <c r="H54" i="24"/>
  <c r="H53" i="24"/>
  <c r="H64" i="24"/>
  <c r="H65" i="24"/>
  <c r="H86" i="24"/>
  <c r="H85" i="24"/>
  <c r="H84" i="24"/>
  <c r="H83" i="24"/>
  <c r="H82" i="24"/>
  <c r="H81" i="24"/>
  <c r="H80" i="24"/>
  <c r="H79" i="24"/>
  <c r="H78" i="24"/>
  <c r="H77" i="24"/>
  <c r="H76" i="24"/>
  <c r="H75" i="24"/>
  <c r="S147" i="19"/>
  <c r="Y147" i="19" s="1"/>
  <c r="S135" i="19"/>
  <c r="Y135" i="19" s="1"/>
  <c r="S119" i="19"/>
  <c r="Y119" i="19" s="1"/>
  <c r="S107" i="19"/>
  <c r="Y107" i="19" s="1"/>
  <c r="S77" i="19"/>
  <c r="Y77" i="19" s="1"/>
  <c r="S65" i="19"/>
  <c r="Y65" i="19" s="1"/>
  <c r="S35" i="19"/>
  <c r="Y35" i="19" s="1"/>
  <c r="S23" i="19"/>
  <c r="Y23" i="19" s="1"/>
  <c r="S161" i="19"/>
  <c r="Y161" i="19" s="1"/>
  <c r="S149" i="19"/>
  <c r="Y149" i="19" s="1"/>
  <c r="S105" i="19"/>
  <c r="Y105" i="19" s="1"/>
  <c r="S93" i="19"/>
  <c r="Y93" i="19" s="1"/>
  <c r="S63" i="19"/>
  <c r="Y63" i="19" s="1"/>
  <c r="S51" i="19"/>
  <c r="Y51" i="19" s="1"/>
  <c r="S79" i="19"/>
  <c r="Y79" i="19" s="1"/>
  <c r="S49" i="19"/>
  <c r="Y49" i="19" s="1"/>
  <c r="Y7" i="19"/>
  <c r="S133" i="19"/>
  <c r="Y133" i="19" s="1"/>
  <c r="S37" i="19"/>
  <c r="Y37" i="19" s="1"/>
  <c r="S21" i="19"/>
  <c r="Y21" i="19" s="1"/>
  <c r="S121" i="19"/>
  <c r="Y121" i="19" s="1"/>
  <c r="S9" i="19"/>
  <c r="Y9" i="19" s="1"/>
  <c r="S91" i="19"/>
  <c r="Y91" i="19" s="1"/>
  <c r="K133" i="19"/>
  <c r="Q133" i="19" s="1"/>
  <c r="K121" i="19"/>
  <c r="Q121" i="19" s="1"/>
  <c r="K119" i="19"/>
  <c r="Q119" i="19" s="1"/>
  <c r="K107" i="19"/>
  <c r="Q107" i="19" s="1"/>
  <c r="K105" i="19"/>
  <c r="Q105" i="19" s="1"/>
  <c r="K93" i="19"/>
  <c r="Q93" i="19" s="1"/>
  <c r="K91" i="19"/>
  <c r="Q91" i="19" s="1"/>
  <c r="K79" i="19"/>
  <c r="Q79" i="19" s="1"/>
  <c r="K77" i="19"/>
  <c r="Q77" i="19" s="1"/>
  <c r="K65" i="19"/>
  <c r="Q65" i="19" s="1"/>
  <c r="K63" i="19"/>
  <c r="Q63" i="19" s="1"/>
  <c r="K51" i="19"/>
  <c r="Q51" i="19" s="1"/>
  <c r="K49" i="19"/>
  <c r="Q49" i="19" s="1"/>
  <c r="K37" i="19"/>
  <c r="Q37" i="19" s="1"/>
  <c r="K35" i="19"/>
  <c r="Q35" i="19" s="1"/>
  <c r="K23" i="19"/>
  <c r="Q23" i="19" s="1"/>
  <c r="K147" i="19"/>
  <c r="Q147" i="19" s="1"/>
  <c r="K135" i="19"/>
  <c r="Q135" i="19" s="1"/>
  <c r="K21" i="19"/>
  <c r="Q21" i="19" s="1"/>
  <c r="K9" i="19"/>
  <c r="Q9" i="19" s="1"/>
  <c r="Q7" i="19"/>
  <c r="K161" i="19"/>
  <c r="Q161" i="19" s="1"/>
  <c r="K149" i="19"/>
  <c r="Q149" i="19" s="1"/>
  <c r="D161" i="19"/>
  <c r="D149" i="19"/>
  <c r="D147" i="19"/>
  <c r="D135" i="19"/>
  <c r="D133" i="19"/>
  <c r="D121" i="19"/>
  <c r="D119" i="19"/>
  <c r="D107" i="19"/>
  <c r="D105" i="19"/>
  <c r="D93" i="19"/>
  <c r="D91" i="19"/>
  <c r="D79" i="19"/>
  <c r="D77" i="19"/>
  <c r="D65" i="19"/>
  <c r="D63" i="19"/>
  <c r="D51" i="19"/>
  <c r="D49" i="19"/>
  <c r="D37" i="19"/>
  <c r="D35" i="19"/>
  <c r="D23" i="19"/>
  <c r="D21" i="19"/>
  <c r="D9" i="19"/>
  <c r="C7" i="19"/>
  <c r="I7" i="19" s="1"/>
  <c r="I57" i="12"/>
  <c r="L57" i="12"/>
  <c r="K57" i="12"/>
  <c r="J57" i="12"/>
  <c r="D30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64" i="10"/>
  <c r="F65" i="10"/>
  <c r="C51" i="10"/>
  <c r="D52" i="10" s="1"/>
  <c r="F85" i="8"/>
  <c r="F84" i="8"/>
  <c r="F83" i="8"/>
  <c r="F82" i="8"/>
  <c r="F81" i="8"/>
  <c r="F80" i="8"/>
  <c r="F79" i="8"/>
  <c r="F78" i="8"/>
  <c r="F77" i="8"/>
  <c r="F76" i="8"/>
  <c r="F75" i="8"/>
  <c r="F86" i="8"/>
  <c r="F74" i="8"/>
  <c r="C271" i="8"/>
  <c r="D272" i="8" s="1"/>
  <c r="C205" i="8"/>
  <c r="D206" i="8" s="1"/>
  <c r="C139" i="8"/>
  <c r="D140" i="8" s="1"/>
  <c r="C227" i="8"/>
  <c r="D228" i="8" s="1"/>
  <c r="C161" i="8"/>
  <c r="D162" i="8" s="1"/>
  <c r="C95" i="8"/>
  <c r="D96" i="8" s="1"/>
  <c r="C51" i="8"/>
  <c r="D8" i="8"/>
  <c r="C29" i="8"/>
  <c r="D30" i="8" s="1"/>
  <c r="C183" i="8"/>
  <c r="D184" i="8" s="1"/>
  <c r="C73" i="8"/>
  <c r="D74" i="8" s="1"/>
  <c r="C249" i="8"/>
  <c r="D250" i="8" s="1"/>
  <c r="C117" i="8"/>
  <c r="D118" i="8" s="1"/>
  <c r="F63" i="8"/>
  <c r="F62" i="8"/>
  <c r="F61" i="8"/>
  <c r="F60" i="8"/>
  <c r="F59" i="8"/>
  <c r="F58" i="8"/>
  <c r="F57" i="8"/>
  <c r="F56" i="8"/>
  <c r="F55" i="8"/>
  <c r="F54" i="8"/>
  <c r="F53" i="8"/>
  <c r="F87" i="8"/>
  <c r="F52" i="8"/>
  <c r="F64" i="8"/>
  <c r="F65" i="8"/>
  <c r="H52" i="25" l="1"/>
  <c r="J52" i="25"/>
  <c r="D52" i="8"/>
  <c r="C161" i="19"/>
  <c r="I161" i="19" s="1"/>
  <c r="C149" i="19"/>
  <c r="I149" i="19" s="1"/>
  <c r="C147" i="19"/>
  <c r="I147" i="19" s="1"/>
  <c r="C135" i="19"/>
  <c r="I135" i="19" s="1"/>
  <c r="C133" i="19"/>
  <c r="I133" i="19" s="1"/>
  <c r="C121" i="19"/>
  <c r="I121" i="19" s="1"/>
  <c r="C119" i="19"/>
  <c r="I119" i="19" s="1"/>
  <c r="C107" i="19"/>
  <c r="I107" i="19" s="1"/>
  <c r="C105" i="19"/>
  <c r="I105" i="19" s="1"/>
  <c r="C93" i="19"/>
  <c r="I93" i="19" s="1"/>
  <c r="C91" i="19"/>
  <c r="I91" i="19" s="1"/>
  <c r="C79" i="19"/>
  <c r="I79" i="19" s="1"/>
  <c r="C77" i="19"/>
  <c r="I77" i="19" s="1"/>
  <c r="C65" i="19"/>
  <c r="I65" i="19" s="1"/>
  <c r="C63" i="19"/>
  <c r="I63" i="19" s="1"/>
  <c r="C51" i="19"/>
  <c r="I51" i="19" s="1"/>
  <c r="C49" i="19"/>
  <c r="I49" i="19" s="1"/>
  <c r="C37" i="19"/>
  <c r="I37" i="19" s="1"/>
  <c r="C35" i="19"/>
  <c r="I35" i="19" s="1"/>
  <c r="C23" i="19"/>
  <c r="I23" i="19" s="1"/>
  <c r="C21" i="19"/>
  <c r="I21" i="19" s="1"/>
  <c r="C9" i="19"/>
  <c r="I9" i="19" s="1"/>
  <c r="C253" i="24"/>
  <c r="D254" i="24" s="1"/>
  <c r="C73" i="24"/>
  <c r="D74" i="24" s="1"/>
  <c r="C29" i="24"/>
  <c r="D30" i="24" s="1"/>
  <c r="C227" i="24"/>
  <c r="D228" i="24" s="1"/>
  <c r="C183" i="24"/>
  <c r="D184" i="24" s="1"/>
  <c r="C117" i="24"/>
  <c r="D118" i="24" s="1"/>
  <c r="C51" i="24"/>
  <c r="C161" i="24"/>
  <c r="D162" i="24" s="1"/>
  <c r="C205" i="24"/>
  <c r="D206" i="24" s="1"/>
  <c r="C139" i="24"/>
  <c r="D140" i="24" s="1"/>
  <c r="D8" i="24"/>
  <c r="C95" i="24"/>
  <c r="D96" i="24" s="1"/>
  <c r="F85" i="24"/>
  <c r="F84" i="24"/>
  <c r="F83" i="24"/>
  <c r="F82" i="24"/>
  <c r="F81" i="24"/>
  <c r="F80" i="24"/>
  <c r="F79" i="24"/>
  <c r="F78" i="24"/>
  <c r="F77" i="24"/>
  <c r="F76" i="24"/>
  <c r="F75" i="24"/>
  <c r="F86" i="24"/>
  <c r="F41" i="24"/>
  <c r="F40" i="24"/>
  <c r="F39" i="24"/>
  <c r="F38" i="24"/>
  <c r="F37" i="24"/>
  <c r="F36" i="24"/>
  <c r="F35" i="24"/>
  <c r="F34" i="24"/>
  <c r="F33" i="24"/>
  <c r="F32" i="24"/>
  <c r="F31" i="24"/>
  <c r="F42" i="24"/>
  <c r="F43" i="24"/>
  <c r="F87" i="24"/>
  <c r="F63" i="24"/>
  <c r="F62" i="24"/>
  <c r="F61" i="24"/>
  <c r="F60" i="24"/>
  <c r="F59" i="24"/>
  <c r="F58" i="24"/>
  <c r="F57" i="24"/>
  <c r="F56" i="24"/>
  <c r="F55" i="24"/>
  <c r="F54" i="24"/>
  <c r="F53" i="24"/>
  <c r="F65" i="24"/>
  <c r="F64" i="24"/>
  <c r="F107" i="24"/>
  <c r="F106" i="24"/>
  <c r="F105" i="24"/>
  <c r="F104" i="24"/>
  <c r="F103" i="24"/>
  <c r="F102" i="24"/>
  <c r="F101" i="24"/>
  <c r="F100" i="24"/>
  <c r="F99" i="24"/>
  <c r="F98" i="24"/>
  <c r="F97" i="24"/>
  <c r="F108" i="24"/>
  <c r="F109" i="24"/>
  <c r="F173" i="24"/>
  <c r="F172" i="24"/>
  <c r="F171" i="24"/>
  <c r="F170" i="24"/>
  <c r="F169" i="24"/>
  <c r="F168" i="24"/>
  <c r="F167" i="24"/>
  <c r="F166" i="24"/>
  <c r="F165" i="24"/>
  <c r="F164" i="24"/>
  <c r="F163" i="24"/>
  <c r="F175" i="24"/>
  <c r="F174" i="24"/>
  <c r="F217" i="24"/>
  <c r="F216" i="24"/>
  <c r="F215" i="24"/>
  <c r="F214" i="24"/>
  <c r="F218" i="24"/>
  <c r="F211" i="24"/>
  <c r="F208" i="24"/>
  <c r="F212" i="24"/>
  <c r="F207" i="24"/>
  <c r="F209" i="24"/>
  <c r="F213" i="24"/>
  <c r="F219" i="24"/>
  <c r="F210" i="24"/>
  <c r="F152" i="24"/>
  <c r="F150" i="24"/>
  <c r="F149" i="24"/>
  <c r="F148" i="24"/>
  <c r="F147" i="24"/>
  <c r="F146" i="24"/>
  <c r="F145" i="24"/>
  <c r="F144" i="24"/>
  <c r="F143" i="24"/>
  <c r="F142" i="24"/>
  <c r="F141" i="24"/>
  <c r="F153" i="24"/>
  <c r="F151" i="24"/>
  <c r="F129" i="24"/>
  <c r="F128" i="24"/>
  <c r="F127" i="24"/>
  <c r="F126" i="24"/>
  <c r="F125" i="24"/>
  <c r="F124" i="24"/>
  <c r="F123" i="24"/>
  <c r="F122" i="24"/>
  <c r="F121" i="24"/>
  <c r="F120" i="24"/>
  <c r="F119" i="24"/>
  <c r="F131" i="24"/>
  <c r="F130" i="24"/>
  <c r="F197" i="24"/>
  <c r="F196" i="24"/>
  <c r="F195" i="24"/>
  <c r="F192" i="24"/>
  <c r="F189" i="24"/>
  <c r="F186" i="24"/>
  <c r="F193" i="24"/>
  <c r="F190" i="24"/>
  <c r="F187" i="24"/>
  <c r="F188" i="24"/>
  <c r="F191" i="24"/>
  <c r="F194" i="24"/>
  <c r="F185" i="24"/>
  <c r="F266" i="24"/>
  <c r="F265" i="24"/>
  <c r="F262" i="24"/>
  <c r="F259" i="24"/>
  <c r="F256" i="24"/>
  <c r="F263" i="24"/>
  <c r="F260" i="24"/>
  <c r="F257" i="24"/>
  <c r="F264" i="24"/>
  <c r="F261" i="24"/>
  <c r="F258" i="24"/>
  <c r="F255" i="24"/>
  <c r="F267" i="24"/>
  <c r="F241" i="24"/>
  <c r="F240" i="24"/>
  <c r="F238" i="24"/>
  <c r="F235" i="24"/>
  <c r="F239" i="24"/>
  <c r="F236" i="24"/>
  <c r="F232" i="24"/>
  <c r="F229" i="24"/>
  <c r="F237" i="24"/>
  <c r="F231" i="24"/>
  <c r="F233" i="24"/>
  <c r="F230" i="24"/>
  <c r="F234" i="24"/>
  <c r="C7" i="25"/>
  <c r="F8" i="25" s="1"/>
  <c r="E73" i="25"/>
  <c r="E29" i="25"/>
  <c r="E51" i="25"/>
  <c r="E95" i="25"/>
  <c r="H109" i="25"/>
  <c r="H107" i="25"/>
  <c r="H106" i="25"/>
  <c r="H105" i="25"/>
  <c r="H104" i="25"/>
  <c r="H103" i="25"/>
  <c r="H102" i="25"/>
  <c r="H101" i="25"/>
  <c r="H100" i="25"/>
  <c r="H99" i="25"/>
  <c r="H98" i="25"/>
  <c r="H97" i="25"/>
  <c r="H108" i="25"/>
  <c r="H30" i="25"/>
  <c r="H96" i="25" l="1"/>
  <c r="H74" i="25"/>
  <c r="F108" i="25"/>
  <c r="F109" i="25"/>
  <c r="F30" i="25"/>
  <c r="F107" i="25"/>
  <c r="F106" i="25"/>
  <c r="F105" i="25"/>
  <c r="F104" i="25"/>
  <c r="F103" i="25"/>
  <c r="F102" i="25"/>
  <c r="F101" i="25"/>
  <c r="F100" i="25"/>
  <c r="F99" i="25"/>
  <c r="F98" i="25"/>
  <c r="F97" i="25"/>
  <c r="C95" i="25"/>
  <c r="D96" i="25" s="1"/>
  <c r="C51" i="25"/>
  <c r="D52" i="25" s="1"/>
  <c r="D8" i="25"/>
  <c r="C73" i="25"/>
  <c r="D74" i="25" s="1"/>
  <c r="C29" i="25"/>
  <c r="D52" i="24"/>
  <c r="F52" i="25" l="1"/>
  <c r="F96" i="25"/>
  <c r="F74" i="25"/>
  <c r="D30" i="25"/>
</calcChain>
</file>

<file path=xl/sharedStrings.xml><?xml version="1.0" encoding="utf-8"?>
<sst xmlns="http://schemas.openxmlformats.org/spreadsheetml/2006/main" count="6246" uniqueCount="322">
  <si>
    <t>Total</t>
  </si>
  <si>
    <t>Estadísticas indicadores alojativos</t>
  </si>
  <si>
    <t>Comparativa Canarias e islas</t>
  </si>
  <si>
    <t>Resumen indicadores municipios Tenerife</t>
  </si>
  <si>
    <t>Oferta alojativa en funcionamiento</t>
  </si>
  <si>
    <t>Plazas alojativas Tenerife y municipios</t>
  </si>
  <si>
    <t>Establecimientos alojativos Tenerife y municipios</t>
  </si>
  <si>
    <t>Indicadores alojativos hotel + apartamento</t>
  </si>
  <si>
    <t>Viajeros entrados</t>
  </si>
  <si>
    <t>Viajeros peninsulares entrados en los hoteles y apartamentos de Tenerife por municipio de alojamiento - acumulado</t>
  </si>
  <si>
    <t xml:space="preserve">Viajeros entrados en los establecimientos alojativos de Tenerife por municipio y categoría </t>
  </si>
  <si>
    <t>Viajeros entrados en los establecimientos alojativos de Tenerife según lugar de residencia y municipio de alojamiento - año</t>
  </si>
  <si>
    <t>Viajeros entrados en los establecimientos alojativos de Tenerife según lugar de residencia y municipio de alojamiento - mes</t>
  </si>
  <si>
    <t>Viajeros entrados en los establecimientos alojativos de Tenerife según lugar de residencia y municipio de alojamiento - acumulado</t>
  </si>
  <si>
    <t>Viajeros entrados en los hoteles de Tenerife según lugar de residencia y municipio de alojamiento - acumulado</t>
  </si>
  <si>
    <t>Viajeros entrados en los apartamentos de Tenerife según lugar de residencia y municipio de alojamiento - acumulado</t>
  </si>
  <si>
    <t>Viajeros entrados en los establecimientos hoteleros de Tenerife según lugar de residencia, categoría y municipio del alojamiento - acumulado</t>
  </si>
  <si>
    <t>Viajeros entrados en los establecimientos hoteleros de Tenerife según lugar de residencia, categoría y municipio del alojamiento - año</t>
  </si>
  <si>
    <t>Viajeros alojados</t>
  </si>
  <si>
    <t>Viajeros alojados en los establecimientos alojativos de Tenerife según lugar de residencia y municipio de alojamiento - mes</t>
  </si>
  <si>
    <t>Viajeros alojados en los establecimientos alojativos de Tenerife según lugar de residencia y municipio de alojamiento - acumulado</t>
  </si>
  <si>
    <t>Pernoctaciones</t>
  </si>
  <si>
    <t>Estancia media</t>
  </si>
  <si>
    <t>Tasa de ocupación</t>
  </si>
  <si>
    <t>indicadores rentabilidad</t>
  </si>
  <si>
    <t xml:space="preserve">Indicadores de rentabilidad:Tarifa media diaria (ADR); ingresos por habitación disponible (RevPAR); ingresos totales en los establecimientos alojativos Tenerife por municipio  (hotel + apartamento) </t>
  </si>
  <si>
    <t>Tarifa media diaria (ADR) Tenerife y municipios</t>
  </si>
  <si>
    <t>Ingresos medios por habitación (RevPar) Tenerife y municipios</t>
  </si>
  <si>
    <t>Viajeros españoles entrados en hoteles y apartamentos</t>
  </si>
  <si>
    <t>Viajeros españoles entrados en los hoteles y apartamentos de Tenerife por municipio de alojamiento</t>
  </si>
  <si>
    <t>Viajeros peninsulares entrados en los hoteles y apartamentos de Tenerife por municipio de alojamiento</t>
  </si>
  <si>
    <t>Viajeros canarios entrados en los hoteles y apartamentos de Tenerife por municipio de alojamiento</t>
  </si>
  <si>
    <t>total</t>
  </si>
  <si>
    <t>hoteleros</t>
  </si>
  <si>
    <t>apartamentos</t>
  </si>
  <si>
    <t>Viajeros alojados*</t>
  </si>
  <si>
    <t>Ocupación por plaza</t>
  </si>
  <si>
    <t>Plazas estimadas en el mes</t>
  </si>
  <si>
    <t>*dato publicado ISTAC
FUENTE: Encuestas Alojamientos Turísticos (ISTAC). ELABORACIÓN: Turismo de Tenerife.</t>
  </si>
  <si>
    <t>Plazas estimadas
promedio</t>
  </si>
  <si>
    <t>*dato calculado viajeros alodos periodo=viajeros alojados en enero + SUM(viajeros entrados febrero hasta mes actual)
FUENTE: Encuestas Alojamientos Turísticos (ISTAC). ELABORACIÓN: Turismo de Tenerife.</t>
  </si>
  <si>
    <t>Plazas estimadas
Promedio anual</t>
  </si>
  <si>
    <t>Nota: el ISTAC solo oferce información de desagregada de los municipios que figuran en las tablas. 
Para cualquier consulta contactar con ISTAC a través del correo consultas.istac@gobiernodecanarias.org</t>
  </si>
  <si>
    <t>Resumen de indicadores turísticos municipios turísticos de Tenerife</t>
  </si>
  <si>
    <t>INDICADORES TURÍSTICOS</t>
  </si>
  <si>
    <t>Tenerife</t>
  </si>
  <si>
    <t>Adeje</t>
  </si>
  <si>
    <t>Arona</t>
  </si>
  <si>
    <t>Granadilla de Abona</t>
  </si>
  <si>
    <t>Guía de Isora</t>
  </si>
  <si>
    <t>Puerto de la Cruz</t>
  </si>
  <si>
    <t>San Cristóbal de La Laguna</t>
  </si>
  <si>
    <t>San Miguel de Abona</t>
  </si>
  <si>
    <t>Santa Cruz de Tenerife</t>
  </si>
  <si>
    <t>Santiago del Teide</t>
  </si>
  <si>
    <t>Resto de Tenerife</t>
  </si>
  <si>
    <t>Plazas estimadas del mes</t>
  </si>
  <si>
    <t>FUENTE: Encuestas Alojamientos Turísticos (ISTAC). ELABORACIÓN: Turismo de Tenerife.</t>
  </si>
  <si>
    <t>Resumen de indicadores turísticos Canarias e islas</t>
  </si>
  <si>
    <t>Plazas estimadas
promedio anual</t>
  </si>
  <si>
    <t>Promedio anual de plazas en funcionamiento</t>
  </si>
  <si>
    <t>plazas en funcionamiento en el mes</t>
  </si>
  <si>
    <t>Hotel</t>
  </si>
  <si>
    <t>4, 5 Estrellas</t>
  </si>
  <si>
    <t>1, 2, 3 Estrellas</t>
  </si>
  <si>
    <t>Apartamento</t>
  </si>
  <si>
    <t>Promedio anual de establecimientos en funcionamiento</t>
  </si>
  <si>
    <t>establecimientos en funcionamiento en el mes</t>
  </si>
  <si>
    <t>año 2020: 1.627.003 (-68,0%)</t>
  </si>
  <si>
    <t>acumulado diciembre 2021: 2.384.391 (46,6%)</t>
  </si>
  <si>
    <t>Total lugares de residencia</t>
  </si>
  <si>
    <t>dato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</si>
  <si>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</si>
  <si>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</si>
  <si>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</si>
  <si>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</si>
  <si>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</si>
  <si>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</si>
  <si>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</si>
  <si>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</si>
  <si>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</si>
  <si>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</si>
  <si>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</si>
  <si>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</si>
  <si>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</si>
  <si>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</si>
  <si>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</si>
  <si>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</si>
  <si>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</si>
  <si>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Septiembre</t>
  </si>
  <si>
    <t>oct</t>
  </si>
  <si>
    <t>Octubre</t>
  </si>
  <si>
    <t>nov</t>
  </si>
  <si>
    <t>Noviembre</t>
  </si>
  <si>
    <t>dic</t>
  </si>
  <si>
    <t>Diciembre</t>
  </si>
  <si>
    <t>año 2020: 491.164 (-58,4%)</t>
  </si>
  <si>
    <t>acumulado diciembre 2021: 846.190 (72,3%)</t>
  </si>
  <si>
    <t>España</t>
  </si>
  <si>
    <t>Total residentes en España</t>
  </si>
  <si>
    <t>año 2020: 256.364 (-61,2%)</t>
  </si>
  <si>
    <t>acumulado diciembre 2021: 401.165 (56,5%)</t>
  </si>
  <si>
    <t>Península</t>
  </si>
  <si>
    <t>año 2020: 234.800 (-54,8%)</t>
  </si>
  <si>
    <t>acumulado diciembre 2021: 445.025 (89,5%)</t>
  </si>
  <si>
    <t>Canarias</t>
  </si>
  <si>
    <t>año 2020: 1.135.839 (-70,9%)</t>
  </si>
  <si>
    <t>acumulado diciembre 2021: 1.538.201 (35,4%)</t>
  </si>
  <si>
    <t>Mundo (excluida España)</t>
  </si>
  <si>
    <t>Total residentes en el extranjero</t>
  </si>
  <si>
    <t>año 2020: 443.259 (-75,1%)</t>
  </si>
  <si>
    <t>acumulado diciembre 2021: 443.278 (0,0%)</t>
  </si>
  <si>
    <t>Reino Unido</t>
  </si>
  <si>
    <t>año 2020: 140.489 (-72,1%)</t>
  </si>
  <si>
    <t>acumulado diciembre 2021: 218.298 (55,4%)</t>
  </si>
  <si>
    <t>Alemania</t>
  </si>
  <si>
    <t>año 2020: 60.127 (-65,0%)</t>
  </si>
  <si>
    <t>acumulado diciembre 2021: 133.006 (121,2%)</t>
  </si>
  <si>
    <t>Francia</t>
  </si>
  <si>
    <t>año 2020: 55.839 (-58,8%)</t>
  </si>
  <si>
    <t>acumulado diciembre 2021: 93.108 (66,7%)</t>
  </si>
  <si>
    <t>Bélgica</t>
  </si>
  <si>
    <t>junio</t>
  </si>
  <si>
    <t>año 2020: 40.096 (-72,1%)</t>
  </si>
  <si>
    <t>acumulado diciembre 2021: 93.513 (133,2%)</t>
  </si>
  <si>
    <t>Países Bajos</t>
  </si>
  <si>
    <t>año 2020: 36.855 (-72,9%)</t>
  </si>
  <si>
    <t>acumulado diciembre 2021: 74.437 (102,0%)</t>
  </si>
  <si>
    <t>año 2020: 27.669 (-76,0%)</t>
  </si>
  <si>
    <t>acumulado diciembre 2021: 42.846 (54,9%)</t>
  </si>
  <si>
    <t>Dinamarca</t>
  </si>
  <si>
    <t>año 2020: 12.033 (-72,1%)</t>
  </si>
  <si>
    <t>acumulado diciembre 2021: 30.544 (153,8%)</t>
  </si>
  <si>
    <t>Suecia</t>
  </si>
  <si>
    <t>Total categorías</t>
  </si>
  <si>
    <t>var 16/15</t>
  </si>
  <si>
    <t>var 17/16</t>
  </si>
  <si>
    <t>var 18/17</t>
  </si>
  <si>
    <t>var 22/21</t>
  </si>
  <si>
    <t>hoteles</t>
  </si>
  <si>
    <t>viajeros entrados</t>
  </si>
  <si>
    <t>var interanual</t>
  </si>
  <si>
    <t>4, 5 estrellas</t>
  </si>
  <si>
    <t>Evolución de viajeros entrados en los hoteles de 4 estrellas de Tenerife</t>
  </si>
  <si>
    <t>1, 2, 3 estrellas</t>
  </si>
  <si>
    <t>Viajeros entrados en los establecimientos alojativos de Tenerife por municipio y categoría 
(hotel + apartamento)</t>
  </si>
  <si>
    <t>Holanda</t>
  </si>
  <si>
    <t>Otros países</t>
  </si>
  <si>
    <t>Mundo (Excluida España)</t>
  </si>
  <si>
    <t>año 2020: 165.282 (-66,0%)</t>
  </si>
  <si>
    <t>acumulado diciembre 2021: 310.940 (88,1%)</t>
  </si>
  <si>
    <t>4 y 5 estrellas</t>
  </si>
  <si>
    <t>verificar los totales año (2020, 2021) con la publicación porque al no tener plazas en algunos meses por el covid da mal el cálculo del dato, o cuando hay algún mes que no da el dato (probablemente que la muestra sea muy pequeña)</t>
  </si>
  <si>
    <t>cambiar el dato cuando se pase a valores</t>
  </si>
  <si>
    <t>año 2020: 0 (-39,9%)</t>
  </si>
  <si>
    <t>acumulado diciembre 2021: 1 (57,7%)</t>
  </si>
  <si>
    <t>Total establecimientos alojativos (hotel + apartamento)</t>
  </si>
  <si>
    <t>año 2020: 0 (-39,0%)</t>
  </si>
  <si>
    <t>acumulado diciembre 2021: 1 (13,3%)</t>
  </si>
  <si>
    <t>año 2020: 0 (-36,7%)</t>
  </si>
  <si>
    <t>acumulado diciembre 2021: 1 (20,6%)</t>
  </si>
  <si>
    <t>año 2020: 0 (-39,4%)</t>
  </si>
  <si>
    <t>acumulado diciembre 2021: 1 (13,1%)</t>
  </si>
  <si>
    <t>año 2020: 0 (-42,1%)</t>
  </si>
  <si>
    <t>acumulado diciembre 2021: 0 (-6,1%)</t>
  </si>
  <si>
    <t>i</t>
  </si>
  <si>
    <t xml:space="preserve">Tarifa media diaria ADR por habitación en los establecimientos alojativos Tenerife por municipio  (hotel + apartamento) </t>
  </si>
  <si>
    <t>Ingresos por habitación disponible (RevPAR) en los establecimientos alojativos de Tenerife por municipio  (hotel + apartamento)</t>
  </si>
  <si>
    <t>Ingresos totales en los establecimientos alojativos de Tenerife por municipio  (hotel + apartamento)</t>
  </si>
  <si>
    <t>El ADR o Tarifa Media Diaria son los ingresos medios diarios obtenidos por habitación-apartamento ocupado. Los ingresos hacen referencia a aquellos percibidos por los hoteleros por la prestación del servicio de alojamiento, sin incluir otro tipo de servicios que sí pueda ofrecer el establecimiento.</t>
  </si>
  <si>
    <t>El RevPar o Ingreso por Habitación-Apartamento Disponible son los ingresos medios diarios obtenidos por habitación-apartamento disponible. Los ingresos hacen referencia a aquellos percibidos por los hoteleros por la prestación del servicio de alojamiento, sin incluir otro tipo de servicios que sí pueda ofrecer el establecimiento.</t>
  </si>
  <si>
    <t>Los Ingresos totales son el producto del ADR por las habitaciones ocupadas</t>
  </si>
  <si>
    <t>Los datos del acumulado están calculados como la división entre el aumulado de los ingresos y el acumulados de las habitaciones ocupadas</t>
  </si>
  <si>
    <t>Los datos del acumulado están calculados como la división entre el aumulado de los ingresos y el acumulados de las habitaciones disponibles</t>
  </si>
  <si>
    <t xml:space="preserve">Tarifa media diaria ADR por habitación en los establecimientos alojativos Canarias e islas  (hotel + apartamento) </t>
  </si>
  <si>
    <t>Ingresos por habitación disponible (RevPAR) en los establecimientos alojativos Canarias e islas  (hotel + apartamento)</t>
  </si>
  <si>
    <t>Ingresos totales en los establecimientos alojativos Canarias e islas  (hotel + apartamento)</t>
  </si>
  <si>
    <t>Total Turistas</t>
  </si>
  <si>
    <t>Total España</t>
  </si>
  <si>
    <t>Total 
categorías</t>
  </si>
  <si>
    <t>Alojados 
hoteleros</t>
  </si>
  <si>
    <t>5*</t>
  </si>
  <si>
    <t>Residentes en Tenerife</t>
  </si>
  <si>
    <t>4*</t>
  </si>
  <si>
    <t>Residentes resto de Canarias</t>
  </si>
  <si>
    <t>3*</t>
  </si>
  <si>
    <t>1*</t>
  </si>
  <si>
    <t>FUENTE: Desarrollo Económico, Cabildo Insular de Tenerife. ELABORACIÓN: Turismo de Tenerife.</t>
  </si>
  <si>
    <t>Alojados 
extrahoteleros</t>
  </si>
  <si>
    <t>Turismo español alojado en Tenerife por lugar de residencia</t>
  </si>
  <si>
    <t>%/s total España</t>
  </si>
  <si>
    <t>%/ total turistas</t>
  </si>
  <si>
    <t>Var. Interanual</t>
  </si>
  <si>
    <t>diferencia</t>
  </si>
  <si>
    <t>Distribución de viajeros peninsulares entrados en hoteles y apartamentos de Tenerife por lugar categoría del alojamiento</t>
  </si>
  <si>
    <t>Total viajeros españoles</t>
  </si>
  <si>
    <t>Hoteles</t>
  </si>
  <si>
    <t>Apartamentos</t>
  </si>
  <si>
    <t>,</t>
  </si>
  <si>
    <t>Viajeros españoles entrados en los hoteles y apartamentos de Tenerife por tipología y categoría de alojamiento</t>
  </si>
  <si>
    <t xml:space="preserve">Observación: en 2022 no se publica desagregación por categorías
FUENTE: Desarrollo Económico, Cabildo Insular de Tenerife. ELABORACIÓN: Turismo de Tenerife. </t>
  </si>
  <si>
    <t>Total viajeros peninsulares</t>
  </si>
  <si>
    <t>Viajeros peninsulares entrados en los hoteles y apartamentos de Tenerife por tipología y categoría de alojamiento</t>
  </si>
  <si>
    <t>Total viajeros canarios</t>
  </si>
  <si>
    <t>Viajeros canarios entrados en los hoteles y apartamentos de Tenerife por tipología y categoría de alojamiento</t>
  </si>
  <si>
    <t>Distribución de viajeros españoles entrados en hoteles y apartamentos de Tenerife por municipio de alojamiento</t>
  </si>
  <si>
    <t>Total Tenerife</t>
  </si>
  <si>
    <t>Resto de municipios de Tenerife</t>
  </si>
  <si>
    <t>Distribución de viajeros peninsulares entrados en hoteles y apartamentos de Tenerife por municipio de alojamiento</t>
  </si>
  <si>
    <t>Distribución de viajeros canarios entrados en hoteles y apartamentos de Tenerife por municipio de alojamiento</t>
  </si>
  <si>
    <t>Españoles</t>
  </si>
  <si>
    <t>peninsulares</t>
  </si>
  <si>
    <t>Canarios</t>
  </si>
  <si>
    <t>Acumulado octubre 2025</t>
  </si>
  <si>
    <t>Resumen indicadores San Cristóbal de La Laguna</t>
  </si>
  <si>
    <t>Evolución mensual de viajeros entrados en San Cristóbal de La Laguna según lugar de residencia</t>
  </si>
  <si>
    <t>Evolución mensual de viajeros entrados en San Cristóbal de La Laguna según categoría del establecimiento</t>
  </si>
  <si>
    <t>Evolución anual de viajeros entrados en San Cristóbal de La Laguna según categoría del establecimiento</t>
  </si>
  <si>
    <t>Evolución mensual de pernoctaciones en San Cristóbal de La Laguna según lugar de residencia</t>
  </si>
  <si>
    <t>Evolución mensual de pernoctaciones en San Cristóbal de La Laguna según categoría del establecimiento</t>
  </si>
  <si>
    <t>Evolución mensual de estancia media en San Cristóbal de La Laguna según lugar de residencia</t>
  </si>
  <si>
    <t>Evolución mensual de estancia media en San Cristóbal de La Laguna según categoría del establecimiento</t>
  </si>
  <si>
    <t>Evolución mensual de tasa de ocupación en San Cristóbal de La Laguna según categoría del establecimiento</t>
  </si>
  <si>
    <t>Viajeros españoles entrados en los hoteles y apartamentos de San Cristóbal de La Laguna según lugar de residencia - acumulado</t>
  </si>
  <si>
    <t>Viajeros españoles entrados en los hoteles y apartamentos de San Cristóbal de La Laguna por tipología y categoría de alojamiento - acumulado</t>
  </si>
  <si>
    <t>Viajeros peninsulares entrados en los hoteles y apartamentos de San Cristóbal de La Laguna por tipología y categoría de alojamiento - acumulado</t>
  </si>
  <si>
    <t>Viajeros canarios entrados en los hoteles y apartamentos de San Cristóbal de La Laguna por tipología y categoría de alojamiento - acumulado</t>
  </si>
  <si>
    <t>Resumen de indicadores turísticos de Tenerife-San Cristóbal de La Laguna</t>
  </si>
  <si>
    <t>octubre 2021</t>
  </si>
  <si>
    <t>octubre 2022</t>
  </si>
  <si>
    <t>octubre 2023</t>
  </si>
  <si>
    <t>octubre 2024</t>
  </si>
  <si>
    <t>octubre 2025</t>
  </si>
  <si>
    <t>-</t>
  </si>
  <si>
    <t>acumulado a octubre 2021</t>
  </si>
  <si>
    <t>acumulado a octubre 2022</t>
  </si>
  <si>
    <t>acumulado a octubre 2023</t>
  </si>
  <si>
    <t>acumulado a octubre 2024</t>
  </si>
  <si>
    <t>acumulado a octubre 2025</t>
  </si>
  <si>
    <t>Viajeros  entrados en los establecimientos alojativos de San Cristóbal de La Laguna 
(hotel + apartamento)</t>
  </si>
  <si>
    <t>Viajeros españoles entrados en los establecimientos alojativos de San Cristóbal de La Laguna 
(hotel + apartamento)</t>
  </si>
  <si>
    <t>Viajeros peninsulares entrados en los establecimientos alojativos de San Cristóbal de La Laguna 
(hotel + apartamento)</t>
  </si>
  <si>
    <t>Viajeros canarios entrados en los establecimientos alojativos de San Cristóbal de La Laguna 
(hotel + apartamento)</t>
  </si>
  <si>
    <t>Viajeros extranjeros entrados en los establecimientos alojativos de San Cristóbal de La Laguna 
(hotel + apartamento)</t>
  </si>
  <si>
    <t>Viajeros británicos entrados en los establecimientos alojativos de San Cristóbal de La Laguna 
(hotel + apartamento)</t>
  </si>
  <si>
    <t>Viajeros alemanes entrados en los establecimientos alojativos de San Cristóbal de La Laguna 
(hotel + apartamento)</t>
  </si>
  <si>
    <t>Viajeros franceses entrados en los establecimientos alojativos de San Cristóbal de La Laguna 
(hotel + apartamento)</t>
  </si>
  <si>
    <t>Viajeros belgas entrados en los establecimientos alojativos de San Cristóbal de La Laguna 
(hotel + apartamento)</t>
  </si>
  <si>
    <t>Viajeros holandeses entrados en los establecimientos alojativos de San Cristóbal de La Laguna 
(hotel + apartamento)</t>
  </si>
  <si>
    <t>Viajeros daneses entrados en los establecimientos alojativos de San Cristóbal de La Laguna 
(hotel + apartamento)</t>
  </si>
  <si>
    <t>Viajeros suecos entrados en los establecimientos alojativos de San Cristóbal de La Laguna 
(hotel + apartamento)</t>
  </si>
  <si>
    <t>var 23/22</t>
  </si>
  <si>
    <t>var 24/23</t>
  </si>
  <si>
    <t>Viajeros entrados en los establecimientos alojativos de San Cristóbal de La Laguna 
(hotel + apartamento)</t>
  </si>
  <si>
    <t>Viajeros entrados en los hoteles de San Cristóbal de La Laguna</t>
  </si>
  <si>
    <t>Viajeros entrados en los hoteles de 4, 5 estrellas San Cristóbal de La Laguna</t>
  </si>
  <si>
    <t>Viajeros entrados en los hoteles de 1, 2, 3 estrellas San Cristóbal de La Laguna</t>
  </si>
  <si>
    <t>Viajeros entrados en los apartamentos de San Cristóbal de La Laguna</t>
  </si>
  <si>
    <t>Evolución de viajeros entrados en los establecimientos alojativos de San Cristóbal de La Laguna 
(hotel + apartamento)</t>
  </si>
  <si>
    <t>Evolución de viajeros entrados en los hoteles de San Cristóbal de La Laguna</t>
  </si>
  <si>
    <t>Evolución de viajeros entrados en los hoteles de 4, 5 estrellas de San Cristóbal de La Laguna</t>
  </si>
  <si>
    <t>Evolución de viajeros entrados en los apartamentos de San Cristóbal de La Laguna</t>
  </si>
  <si>
    <t>acumulado a octubre 2020</t>
  </si>
  <si>
    <t>octubre 2020</t>
  </si>
  <si>
    <t>Viajeros entrados en los establecimientos alojativos de San Cristóbal de La Laguna según lugar de residencia (hotel + apartamento)</t>
  </si>
  <si>
    <t>acumulado octubre 2020</t>
  </si>
  <si>
    <t>acumulado octubre 2021</t>
  </si>
  <si>
    <t>acumulado octubre 2022</t>
  </si>
  <si>
    <t>acumulado octubre 2023</t>
  </si>
  <si>
    <t>acumulado octubre 2024</t>
  </si>
  <si>
    <t>acumulado octubre 2025</t>
  </si>
  <si>
    <t>Viajeros entrados en los hoteles de San Cristóbal de La Laguna según lugar de residencia (hotel + apartamento)</t>
  </si>
  <si>
    <t>Viajeros entrados en los apartamentos de San Cristóbal de La Laguna según lugar de residencia (hotel + apartamento)</t>
  </si>
  <si>
    <t>Viajeros alojados en los establecimientos alojativos de San Cristóbal de La Laguna según lugar de residencia (hotel + apartamento)</t>
  </si>
  <si>
    <t>acumulado octubre 2019</t>
  </si>
  <si>
    <t>Pernoctaciones realizadas por los turistas en los establecimientos alojativos de San Cristóbal de La Laguna (hotel + apartamento)</t>
  </si>
  <si>
    <t>Pernoctaciones realizadas por los turistas españoles en los establecimientos alojativos de San Cristóbal de La Laguna (hotel + apartamento)</t>
  </si>
  <si>
    <t>var 25/24</t>
  </si>
  <si>
    <t>Pernoctaciones realizadas por los procedentes de Península en los establecimientos alojativos de San Cristóbal de La Laguna (hotel + apartamento)</t>
  </si>
  <si>
    <t>Pernoctaciones realizadas por los procedentes de Canarias en los establecimientos alojativos de San Cristóbal de La Laguna (hotel + apartamento)</t>
  </si>
  <si>
    <t>Pernoctaciones realizadas por los procedentes de Total residentes en el extranjero en los establecimientos alojativos de San Cristóbal de La Laguna (hotel + apartamento)</t>
  </si>
  <si>
    <t>Pernoctaciones realizadas por los procedentes de Reino Unido en los establecimientos alojativos de San Cristóbal de La Laguna (hotel + apartamento)</t>
  </si>
  <si>
    <t>Pernoctaciones realizadas por los procedentes de Alemania en los establecimientos alojativos de San Cristóbal de La Laguna (hotel + apartamento)</t>
  </si>
  <si>
    <t>Pernoctaciones realizadas por los procedentes de Francia en los establecimientos alojativos de San Cristóbal de La Laguna (hotel + apartamento)</t>
  </si>
  <si>
    <t>Pernoctaciones realizadas por los procedentes de Bélgica en los establecimientos alojativos de San Cristóbal de La Laguna (hotel + apartamento)</t>
  </si>
  <si>
    <t>Pernoctaciones realizadas por los procedentes de Países Bajos en los establecimientos alojativos de San Cristóbal de La Laguna (hotel + apartamento)</t>
  </si>
  <si>
    <t>Pernoctaciones realizadas por los procedentes de Dinamarca en los establecimientos alojativos de San Cristóbal de La Laguna (hotel + apartamento)</t>
  </si>
  <si>
    <t>Pernoctaciones realizadas por los procedentes de Suecia en los establecimientos alojativos de San Cristóbal de La Laguna (hotel + apartamento)</t>
  </si>
  <si>
    <t>Pernoctaciones realizadas por los turistas en los hoteles de San Cristóbal de La Laguna</t>
  </si>
  <si>
    <t>Pernoctaciones realizadas por los turistas en los hoteles de 4 y 5 estrellas de San Cristóbal de La Laguna</t>
  </si>
  <si>
    <t>Pernoctaciones realizadas por los turistas en los hoteles de 1, 2, 3 estrellas de San Cristóbal de La Laguna</t>
  </si>
  <si>
    <t>Pernoctaciones realizadas por los turistas en los apartamentos de San Cristóbal de La Laguna</t>
  </si>
  <si>
    <t>Estancia Media en los establecimientos alojativos de San Cristóbal de La Laguna
(hotel + apartamento)</t>
  </si>
  <si>
    <t>Estancia media de los viajeros españoles entrados en los establecimientos alojativos de San Cristóbal de La Laguna (hotel + apartamento)</t>
  </si>
  <si>
    <t>Estancia media de los viajeros peninsulares entrados en los establecimientos alojativos de San Cristóbal de La Laguna (hotel + apartamento)</t>
  </si>
  <si>
    <t>Estancia media de los viajeros canarios entrados en los establecimientos alojativos de San Cristóbal de La Laguna (hotel + apartamento)</t>
  </si>
  <si>
    <t>Estancia media de los viajeros extranjeros entrados en los establecimientos alojativos de San Cristóbal de La Laguna (hotel + apartamento)</t>
  </si>
  <si>
    <t>Estancia media de los viajeros británicos entrados en los establecimientos alojativos de San Cristóbal de La Laguna (hotel + apartamento)</t>
  </si>
  <si>
    <t>Estancia media de los viajeros alemanes entrados en los establecimientos alojativos de San Cristóbal de La Laguna (hotel + apartamento)</t>
  </si>
  <si>
    <t>Estancia media de los viajeros franceses entrados en los establecimientos alojativos de San Cristóbal de La Laguna (hotel + apartamento)</t>
  </si>
  <si>
    <t>Estancia media de los viajeros belgas entrados en los establecimientos alojativos de San Cristóbal de La Laguna (hotel + apartamento)</t>
  </si>
  <si>
    <t>Estancia media de los viajeros holandeses entrados en los establecimientos alojativos de San Cristóbal de La Laguna (hotel + apartamento)</t>
  </si>
  <si>
    <t>Estancia media de los viajeros daneses entrados en los establecimientos alojativos de San Cristóbal de La Laguna (hotel + apartamento)</t>
  </si>
  <si>
    <t>Estancia media de los viajeros suecos entrados en los establecimientos alojativos de San Cristóbal de La Laguna (hotel + apartamento)</t>
  </si>
  <si>
    <t>Estancia Media en los hoteles de San Cristóbal de La Laguna</t>
  </si>
  <si>
    <t>Estancia Media en los hoteles de 4, 5 estrellas de San Cristóbal de La Laguna</t>
  </si>
  <si>
    <t>Estancia Media en los hoteles de 1, 2, 3 Estrellas de San Cristóbal de La Laguna</t>
  </si>
  <si>
    <t>Estancia Media en los apartamentos de San Cristóbal de La Laguna</t>
  </si>
  <si>
    <t>Tasa de ocupación por plaza en los establecimientos alojativos de San Cristóbal de La Laguna
(hotel + apartamento)</t>
  </si>
  <si>
    <t>Tasa de ocupación por plaza en los hoteles de San Cristóbal de La Laguna</t>
  </si>
  <si>
    <t>Tasa de ocupación por plaza en los hoteles de 4, 5 Estrellas de San Cristóbal de La Laguna</t>
  </si>
  <si>
    <t>Tasa de ocupación por plaza en los hoteles de 1, 2, 3 Estrellas de San Cristóbal de La Laguna</t>
  </si>
  <si>
    <t>Tasa de ocupación por plaza en los apartamentos de San Cristóbal de La Laguna</t>
  </si>
  <si>
    <t>Distribución de viajeros españoles entrados en hoteles y apartamentos de San Cristóbal de La Laguna  por lugar de residencia</t>
  </si>
  <si>
    <t>Viajeros españoles entrados en los hoteles y apartamentos de San Cristóbal de La Laguna según lugar de residencia</t>
  </si>
  <si>
    <t>Viajeros españoles entrados en los hoteles y apartamentos de San Cristóbal de La Laguna por tipología y categoría de alojamiento</t>
  </si>
  <si>
    <t>Viajeros peninsulares entrados en los hoteles y apartamentos de San Cristóbal de La Laguna por tipología y categoría de alojamiento</t>
  </si>
  <si>
    <t>Viajeros canarios entrados en los hoteles y apartamentos de San Cristóbal de La Laguna por tipología y categoría de alojamiento</t>
  </si>
  <si>
    <t>Evolución de viajeros españoles entrados en los establecimientos alojativos de San Cristóbal de La Laguna
(hotel + apartamento)</t>
  </si>
  <si>
    <t>Evolución de viajeros peninsulares entrados en los establecimientos alojativos de San Cristóbal de La Laguna
(hotel + apartamento)</t>
  </si>
  <si>
    <t>Evolución de viajeros canarios entrados en los establecimientos alojativos de San Cristóbal de La Laguna
(hotel + apartamento)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</si>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</sst>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\ &quot;€&quot;"/>
    <numFmt numFmtId="166" formatCode="#,##0\ &quot;€&quot;"/>
    <numFmt numFmtId="167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9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 style="medium">
        <color theme="0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0" tint="-0.149967955565050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/>
      </top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theme="0" tint="-0.14981536301767021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 style="thin">
        <color theme="0" tint="-0.14993743705557422"/>
      </right>
      <top style="thick">
        <color theme="0" tint="-0.14981536301767021"/>
      </top>
      <bottom style="thick">
        <color theme="0" tint="-0.14981536301767021"/>
      </bottom>
      <diagonal/>
    </border>
    <border>
      <left style="thin">
        <color theme="0" tint="-0.149937437055574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 style="thick">
        <color theme="0" tint="-0.1498458815271462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theme="0"/>
      </bottom>
      <diagonal/>
    </border>
    <border>
      <left style="thick">
        <color theme="0" tint="-0.14993743705557422"/>
      </left>
      <right style="medium">
        <color theme="0"/>
      </right>
      <top/>
      <bottom style="medium">
        <color theme="0"/>
      </bottom>
      <diagonal/>
    </border>
    <border>
      <left style="thick">
        <color theme="0" tint="-0.14984588152714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9"/>
      </bottom>
      <diagonal/>
    </border>
    <border>
      <left style="thick">
        <color theme="0" tint="-0.1498458815271462"/>
      </left>
      <right/>
      <top/>
      <bottom style="thin">
        <color theme="9"/>
      </bottom>
      <diagonal/>
    </border>
    <border>
      <left/>
      <right style="thin">
        <color theme="0" tint="-0.14996795556505021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24994659260841701"/>
      </left>
      <right/>
      <top style="medium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" fontId="21" fillId="0" borderId="0">
      <alignment vertical="center"/>
    </xf>
  </cellStyleXfs>
  <cellXfs count="3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9" fillId="0" borderId="0" xfId="2" applyFont="1" applyAlignment="1">
      <alignment horizontal="left" indent="3"/>
    </xf>
    <xf numFmtId="0" fontId="10" fillId="0" borderId="2" xfId="2" applyFont="1" applyFill="1" applyBorder="1" applyAlignment="1">
      <alignment horizontal="left" indent="1"/>
    </xf>
    <xf numFmtId="0" fontId="10" fillId="0" borderId="0" xfId="2" applyFont="1" applyFill="1" applyAlignment="1">
      <alignment horizontal="left" indent="1"/>
    </xf>
    <xf numFmtId="0" fontId="4" fillId="0" borderId="0" xfId="2" applyAlignment="1">
      <alignment horizontal="left" indent="3"/>
    </xf>
    <xf numFmtId="0" fontId="9" fillId="2" borderId="0" xfId="2" applyFont="1" applyFill="1" applyAlignment="1">
      <alignment horizontal="left" indent="3"/>
    </xf>
    <xf numFmtId="0" fontId="9" fillId="0" borderId="0" xfId="2" applyFont="1" applyAlignment="1">
      <alignment horizontal="left" wrapText="1" indent="3"/>
    </xf>
    <xf numFmtId="0" fontId="8" fillId="0" borderId="3" xfId="0" applyFont="1" applyBorder="1" applyAlignment="1">
      <alignment horizontal="left" vertical="center" wrapText="1" readingOrder="1"/>
    </xf>
    <xf numFmtId="0" fontId="0" fillId="0" borderId="3" xfId="0" applyBorder="1"/>
    <xf numFmtId="17" fontId="7" fillId="3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11" fillId="4" borderId="6" xfId="0" applyFont="1" applyFill="1" applyBorder="1" applyAlignment="1">
      <alignment horizontal="center" vertical="center" textRotation="90"/>
    </xf>
    <xf numFmtId="0" fontId="7" fillId="4" borderId="7" xfId="0" applyFont="1" applyFill="1" applyBorder="1" applyAlignment="1">
      <alignment horizontal="left" vertical="center"/>
    </xf>
    <xf numFmtId="0" fontId="7" fillId="4" borderId="7" xfId="0" applyFont="1" applyFill="1" applyBorder="1"/>
    <xf numFmtId="3" fontId="7" fillId="4" borderId="7" xfId="0" applyNumberFormat="1" applyFont="1" applyFill="1" applyBorder="1"/>
    <xf numFmtId="164" fontId="7" fillId="4" borderId="7" xfId="1" applyNumberFormat="1" applyFont="1" applyFill="1" applyBorder="1" applyAlignment="1">
      <alignment horizontal="right"/>
    </xf>
    <xf numFmtId="164" fontId="7" fillId="4" borderId="7" xfId="1" applyNumberFormat="1" applyFont="1" applyFill="1" applyBorder="1"/>
    <xf numFmtId="0" fontId="11" fillId="4" borderId="8" xfId="0" applyFont="1" applyFill="1" applyBorder="1" applyAlignment="1">
      <alignment horizontal="center" vertical="center" textRotation="90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/>
    <xf numFmtId="3" fontId="7" fillId="4" borderId="0" xfId="0" applyNumberFormat="1" applyFont="1" applyFill="1"/>
    <xf numFmtId="164" fontId="7" fillId="4" borderId="0" xfId="1" applyNumberFormat="1" applyFont="1" applyFill="1" applyAlignment="1">
      <alignment horizontal="right"/>
    </xf>
    <xf numFmtId="164" fontId="7" fillId="4" borderId="0" xfId="1" applyNumberFormat="1" applyFont="1" applyFill="1"/>
    <xf numFmtId="0" fontId="7" fillId="4" borderId="9" xfId="0" applyFont="1" applyFill="1" applyBorder="1" applyAlignment="1">
      <alignment horizontal="left" vertical="center"/>
    </xf>
    <xf numFmtId="0" fontId="7" fillId="4" borderId="9" xfId="0" applyFont="1" applyFill="1" applyBorder="1"/>
    <xf numFmtId="3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/>
    <xf numFmtId="3" fontId="7" fillId="0" borderId="7" xfId="0" applyNumberFormat="1" applyFont="1" applyBorder="1"/>
    <xf numFmtId="164" fontId="7" fillId="0" borderId="7" xfId="1" applyNumberFormat="1" applyFont="1" applyBorder="1" applyAlignment="1">
      <alignment horizontal="right"/>
    </xf>
    <xf numFmtId="0" fontId="7" fillId="0" borderId="0" xfId="0" applyFont="1" applyAlignment="1">
      <alignment horizontal="left" vertical="center"/>
    </xf>
    <xf numFmtId="3" fontId="7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9" xfId="0" applyFont="1" applyBorder="1" applyAlignment="1">
      <alignment horizontal="left" vertical="center"/>
    </xf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2" fontId="7" fillId="0" borderId="7" xfId="0" applyNumberFormat="1" applyFont="1" applyBorder="1"/>
    <xf numFmtId="164" fontId="7" fillId="0" borderId="7" xfId="1" applyNumberFormat="1" applyFont="1" applyFill="1" applyBorder="1" applyAlignment="1">
      <alignment horizontal="right"/>
    </xf>
    <xf numFmtId="4" fontId="7" fillId="0" borderId="7" xfId="0" applyNumberFormat="1" applyFont="1" applyBorder="1"/>
    <xf numFmtId="164" fontId="7" fillId="0" borderId="7" xfId="1" applyNumberFormat="1" applyFont="1" applyFill="1" applyBorder="1"/>
    <xf numFmtId="2" fontId="7" fillId="0" borderId="0" xfId="0" applyNumberFormat="1" applyFont="1"/>
    <xf numFmtId="164" fontId="7" fillId="0" borderId="0" xfId="1" applyNumberFormat="1" applyFont="1" applyFill="1" applyAlignment="1">
      <alignment horizontal="right"/>
    </xf>
    <xf numFmtId="4" fontId="7" fillId="0" borderId="0" xfId="0" applyNumberFormat="1" applyFont="1"/>
    <xf numFmtId="164" fontId="7" fillId="0" borderId="0" xfId="1" applyNumberFormat="1" applyFont="1" applyFill="1"/>
    <xf numFmtId="2" fontId="7" fillId="0" borderId="9" xfId="0" applyNumberFormat="1" applyFont="1" applyBorder="1" applyAlignment="1">
      <alignment horizontal="right"/>
    </xf>
    <xf numFmtId="0" fontId="7" fillId="4" borderId="7" xfId="0" applyFont="1" applyFill="1" applyBorder="1" applyAlignment="1">
      <alignment horizontal="left" vertical="center" wrapText="1"/>
    </xf>
    <xf numFmtId="4" fontId="7" fillId="4" borderId="7" xfId="0" applyNumberFormat="1" applyFont="1" applyFill="1" applyBorder="1"/>
    <xf numFmtId="0" fontId="7" fillId="4" borderId="0" xfId="0" applyFont="1" applyFill="1" applyAlignment="1">
      <alignment horizontal="left" vertical="center" wrapText="1"/>
    </xf>
    <xf numFmtId="4" fontId="7" fillId="4" borderId="0" xfId="0" applyNumberFormat="1" applyFont="1" applyFill="1"/>
    <xf numFmtId="0" fontId="7" fillId="4" borderId="9" xfId="0" applyFont="1" applyFill="1" applyBorder="1" applyAlignment="1">
      <alignment horizontal="left" vertical="center" wrapText="1"/>
    </xf>
    <xf numFmtId="164" fontId="7" fillId="4" borderId="9" xfId="1" applyNumberFormat="1" applyFont="1" applyFill="1" applyBorder="1"/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1" fillId="4" borderId="10" xfId="0" applyFont="1" applyFill="1" applyBorder="1" applyAlignment="1">
      <alignment horizontal="center" vertical="center" textRotation="90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/>
    </xf>
    <xf numFmtId="0" fontId="0" fillId="0" borderId="11" xfId="0" applyBorder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3" fontId="7" fillId="4" borderId="7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9" xfId="1" applyNumberFormat="1" applyFont="1" applyFill="1" applyBorder="1"/>
    <xf numFmtId="0" fontId="2" fillId="0" borderId="0" xfId="0" applyFont="1"/>
    <xf numFmtId="164" fontId="13" fillId="4" borderId="7" xfId="1" applyNumberFormat="1" applyFont="1" applyFill="1" applyBorder="1" applyAlignment="1">
      <alignment horizontal="right"/>
    </xf>
    <xf numFmtId="164" fontId="13" fillId="4" borderId="0" xfId="1" applyNumberFormat="1" applyFont="1" applyFill="1" applyAlignment="1">
      <alignment horizontal="right"/>
    </xf>
    <xf numFmtId="164" fontId="13" fillId="4" borderId="9" xfId="1" applyNumberFormat="1" applyFont="1" applyFill="1" applyBorder="1" applyAlignment="1">
      <alignment horizontal="right"/>
    </xf>
    <xf numFmtId="0" fontId="7" fillId="4" borderId="0" xfId="0" applyFont="1" applyFill="1" applyAlignment="1">
      <alignment horizontal="left" vertical="center" wrapText="1"/>
    </xf>
    <xf numFmtId="164" fontId="13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0" fontId="14" fillId="0" borderId="0" xfId="0" applyFont="1"/>
    <xf numFmtId="164" fontId="7" fillId="0" borderId="9" xfId="1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8" fillId="0" borderId="3" xfId="0" applyFont="1" applyBorder="1" applyAlignment="1">
      <alignment vertical="center" readingOrder="1"/>
    </xf>
    <xf numFmtId="0" fontId="15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0" fontId="0" fillId="0" borderId="0" xfId="0" applyAlignment="1">
      <alignment horizontal="left"/>
    </xf>
    <xf numFmtId="3" fontId="7" fillId="4" borderId="9" xfId="0" applyNumberFormat="1" applyFont="1" applyFill="1" applyBorder="1"/>
    <xf numFmtId="164" fontId="7" fillId="0" borderId="0" xfId="1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1" applyNumberFormat="1" applyFont="1" applyBorder="1"/>
    <xf numFmtId="0" fontId="7" fillId="0" borderId="12" xfId="0" applyFont="1" applyBorder="1" applyAlignment="1">
      <alignment horizontal="center" vertical="center"/>
    </xf>
    <xf numFmtId="4" fontId="7" fillId="2" borderId="7" xfId="0" applyNumberFormat="1" applyFont="1" applyFill="1" applyBorder="1"/>
    <xf numFmtId="0" fontId="7" fillId="0" borderId="13" xfId="0" applyFont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0" fontId="7" fillId="0" borderId="14" xfId="0" applyFont="1" applyBorder="1" applyAlignment="1">
      <alignment horizontal="center" vertical="center"/>
    </xf>
    <xf numFmtId="2" fontId="7" fillId="0" borderId="9" xfId="0" applyNumberFormat="1" applyFont="1" applyBorder="1"/>
    <xf numFmtId="4" fontId="7" fillId="0" borderId="9" xfId="0" applyNumberFormat="1" applyFont="1" applyBorder="1"/>
    <xf numFmtId="4" fontId="7" fillId="4" borderId="9" xfId="0" applyNumberFormat="1" applyFont="1" applyFill="1" applyBorder="1"/>
    <xf numFmtId="164" fontId="0" fillId="0" borderId="0" xfId="1" applyNumberFormat="1" applyFont="1"/>
    <xf numFmtId="164" fontId="7" fillId="0" borderId="7" xfId="1" applyNumberFormat="1" applyFont="1" applyBorder="1"/>
    <xf numFmtId="164" fontId="7" fillId="0" borderId="0" xfId="1" applyNumberFormat="1" applyFont="1" applyBorder="1"/>
    <xf numFmtId="0" fontId="8" fillId="0" borderId="3" xfId="3" applyFont="1" applyBorder="1" applyAlignment="1">
      <alignment vertical="center" readingOrder="1"/>
    </xf>
    <xf numFmtId="0" fontId="8" fillId="0" borderId="0" xfId="0" applyFont="1" applyAlignment="1">
      <alignment horizontal="lef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17" fontId="7" fillId="3" borderId="0" xfId="0" applyNumberFormat="1" applyFont="1" applyFill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/>
    </xf>
    <xf numFmtId="17" fontId="7" fillId="3" borderId="19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/>
    <xf numFmtId="3" fontId="17" fillId="2" borderId="21" xfId="0" applyNumberFormat="1" applyFont="1" applyFill="1" applyBorder="1" applyAlignment="1">
      <alignment horizontal="right"/>
    </xf>
    <xf numFmtId="164" fontId="17" fillId="2" borderId="21" xfId="0" applyNumberFormat="1" applyFont="1" applyFill="1" applyBorder="1" applyAlignment="1">
      <alignment horizontal="right"/>
    </xf>
    <xf numFmtId="0" fontId="18" fillId="0" borderId="20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164" fontId="17" fillId="2" borderId="20" xfId="0" applyNumberFormat="1" applyFont="1" applyFill="1" applyBorder="1" applyAlignment="1">
      <alignment horizontal="right"/>
    </xf>
    <xf numFmtId="0" fontId="7" fillId="0" borderId="22" xfId="0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164" fontId="7" fillId="0" borderId="22" xfId="0" applyNumberFormat="1" applyFont="1" applyBorder="1"/>
    <xf numFmtId="0" fontId="12" fillId="0" borderId="24" xfId="0" applyFont="1" applyBorder="1"/>
    <xf numFmtId="0" fontId="8" fillId="0" borderId="15" xfId="0" applyFont="1" applyBorder="1" applyAlignment="1">
      <alignment vertical="center" readingOrder="1"/>
    </xf>
    <xf numFmtId="3" fontId="8" fillId="0" borderId="15" xfId="0" applyNumberFormat="1" applyFont="1" applyBorder="1" applyAlignment="1">
      <alignment vertical="center" readingOrder="1"/>
    </xf>
    <xf numFmtId="0" fontId="19" fillId="0" borderId="0" xfId="0" applyFont="1" applyAlignment="1">
      <alignment vertical="center" readingOrder="1"/>
    </xf>
    <xf numFmtId="3" fontId="20" fillId="3" borderId="25" xfId="0" applyNumberFormat="1" applyFont="1" applyFill="1" applyBorder="1" applyAlignment="1">
      <alignment horizontal="center" vertical="center" readingOrder="1"/>
    </xf>
    <xf numFmtId="3" fontId="20" fillId="3" borderId="26" xfId="0" applyNumberFormat="1" applyFont="1" applyFill="1" applyBorder="1" applyAlignment="1">
      <alignment horizontal="center" vertical="center" readingOrder="1"/>
    </xf>
    <xf numFmtId="0" fontId="8" fillId="0" borderId="0" xfId="0" applyFont="1" applyAlignment="1">
      <alignment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3" fontId="15" fillId="3" borderId="2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22" fillId="0" borderId="34" xfId="4" applyNumberFormat="1" applyFont="1" applyBorder="1" applyAlignment="1" applyProtection="1">
      <alignment horizontal="center" vertical="center" wrapText="1"/>
      <protection hidden="1"/>
    </xf>
    <xf numFmtId="3" fontId="22" fillId="0" borderId="35" xfId="1" applyNumberFormat="1" applyFont="1" applyBorder="1" applyAlignment="1" applyProtection="1">
      <alignment vertical="center"/>
      <protection hidden="1"/>
    </xf>
    <xf numFmtId="164" fontId="22" fillId="0" borderId="36" xfId="4" applyNumberFormat="1" applyFont="1" applyBorder="1" applyAlignment="1" applyProtection="1">
      <alignment horizontal="right" vertical="center" wrapText="1"/>
      <protection hidden="1"/>
    </xf>
    <xf numFmtId="3" fontId="0" fillId="0" borderId="0" xfId="0" applyNumberFormat="1"/>
    <xf numFmtId="3" fontId="19" fillId="0" borderId="0" xfId="0" applyNumberFormat="1" applyFont="1" applyAlignment="1">
      <alignment vertical="center" readingOrder="1"/>
    </xf>
    <xf numFmtId="9" fontId="0" fillId="0" borderId="0" xfId="1" applyFont="1"/>
    <xf numFmtId="4" fontId="7" fillId="0" borderId="32" xfId="0" applyNumberFormat="1" applyFont="1" applyBorder="1" applyAlignment="1">
      <alignment horizontal="right"/>
    </xf>
    <xf numFmtId="164" fontId="12" fillId="0" borderId="24" xfId="1" applyNumberFormat="1" applyFont="1" applyBorder="1"/>
    <xf numFmtId="0" fontId="15" fillId="3" borderId="25" xfId="0" applyFont="1" applyFill="1" applyBorder="1" applyAlignment="1">
      <alignment horizontal="center" vertical="center" wrapText="1"/>
    </xf>
    <xf numFmtId="0" fontId="23" fillId="0" borderId="0" xfId="0" applyFont="1"/>
    <xf numFmtId="0" fontId="7" fillId="3" borderId="37" xfId="0" applyFont="1" applyFill="1" applyBorder="1" applyAlignment="1">
      <alignment horizontal="right" vertical="center" wrapText="1"/>
    </xf>
    <xf numFmtId="0" fontId="7" fillId="3" borderId="38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 wrapText="1"/>
    </xf>
    <xf numFmtId="0" fontId="22" fillId="2" borderId="0" xfId="0" applyFont="1" applyFill="1"/>
    <xf numFmtId="3" fontId="2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164" fontId="24" fillId="2" borderId="39" xfId="0" applyNumberFormat="1" applyFont="1" applyFill="1" applyBorder="1" applyAlignment="1">
      <alignment horizontal="right"/>
    </xf>
    <xf numFmtId="0" fontId="24" fillId="0" borderId="40" xfId="0" applyFont="1" applyBorder="1" applyAlignment="1">
      <alignment horizontal="left" indent="1"/>
    </xf>
    <xf numFmtId="3" fontId="24" fillId="0" borderId="40" xfId="0" applyNumberFormat="1" applyFont="1" applyBorder="1" applyAlignment="1">
      <alignment horizontal="right"/>
    </xf>
    <xf numFmtId="164" fontId="24" fillId="0" borderId="40" xfId="0" applyNumberFormat="1" applyFont="1" applyBorder="1" applyAlignment="1">
      <alignment horizontal="right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" fillId="0" borderId="0" xfId="1" applyNumberFormat="1" applyFont="1"/>
    <xf numFmtId="0" fontId="8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vertical="center" wrapText="1" readingOrder="1"/>
    </xf>
    <xf numFmtId="0" fontId="0" fillId="3" borderId="6" xfId="0" applyFill="1" applyBorder="1"/>
    <xf numFmtId="0" fontId="9" fillId="3" borderId="41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5" fillId="3" borderId="10" xfId="0" applyFont="1" applyFill="1" applyBorder="1" applyAlignment="1">
      <alignment horizontal="center" vertical="center" wrapText="1"/>
    </xf>
    <xf numFmtId="1" fontId="7" fillId="3" borderId="43" xfId="0" applyNumberFormat="1" applyFont="1" applyFill="1" applyBorder="1" applyAlignment="1">
      <alignment horizontal="right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64" fontId="7" fillId="3" borderId="45" xfId="0" applyNumberFormat="1" applyFont="1" applyFill="1" applyBorder="1" applyAlignment="1">
      <alignment horizontal="right" vertical="center" wrapText="1"/>
    </xf>
    <xf numFmtId="3" fontId="7" fillId="3" borderId="46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/>
    <xf numFmtId="3" fontId="17" fillId="2" borderId="7" xfId="0" applyNumberFormat="1" applyFont="1" applyFill="1" applyBorder="1" applyAlignment="1">
      <alignment horizontal="right"/>
    </xf>
    <xf numFmtId="16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0" borderId="8" xfId="0" applyFont="1" applyBorder="1"/>
    <xf numFmtId="3" fontId="17" fillId="0" borderId="47" xfId="0" applyNumberFormat="1" applyFont="1" applyBorder="1" applyAlignment="1">
      <alignment horizontal="right"/>
    </xf>
    <xf numFmtId="164" fontId="17" fillId="0" borderId="48" xfId="0" applyNumberFormat="1" applyFont="1" applyBorder="1" applyAlignment="1">
      <alignment horizontal="right"/>
    </xf>
    <xf numFmtId="0" fontId="18" fillId="0" borderId="8" xfId="0" applyFont="1" applyBorder="1"/>
    <xf numFmtId="3" fontId="18" fillId="0" borderId="47" xfId="0" applyNumberFormat="1" applyFont="1" applyBorder="1" applyAlignment="1">
      <alignment horizontal="right"/>
    </xf>
    <xf numFmtId="164" fontId="18" fillId="0" borderId="48" xfId="0" applyNumberFormat="1" applyFont="1" applyBorder="1" applyAlignment="1">
      <alignment horizontal="right"/>
    </xf>
    <xf numFmtId="0" fontId="3" fillId="0" borderId="8" xfId="0" applyFont="1" applyBorder="1"/>
    <xf numFmtId="0" fontId="7" fillId="0" borderId="8" xfId="0" applyFont="1" applyBorder="1"/>
    <xf numFmtId="3" fontId="7" fillId="0" borderId="47" xfId="0" applyNumberFormat="1" applyFont="1" applyBorder="1" applyAlignment="1">
      <alignment horizontal="right"/>
    </xf>
    <xf numFmtId="164" fontId="7" fillId="0" borderId="48" xfId="0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10" xfId="0" applyFont="1" applyBorder="1"/>
    <xf numFmtId="0" fontId="7" fillId="0" borderId="10" xfId="0" applyFont="1" applyBorder="1"/>
    <xf numFmtId="3" fontId="7" fillId="0" borderId="49" xfId="0" applyNumberFormat="1" applyFont="1" applyBorder="1" applyAlignment="1">
      <alignment horizontal="right"/>
    </xf>
    <xf numFmtId="164" fontId="7" fillId="0" borderId="50" xfId="0" applyNumberFormat="1" applyFont="1" applyBorder="1" applyAlignment="1">
      <alignment horizontal="right"/>
    </xf>
    <xf numFmtId="0" fontId="12" fillId="0" borderId="0" xfId="0" applyFont="1"/>
    <xf numFmtId="0" fontId="9" fillId="3" borderId="51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3" fontId="7" fillId="3" borderId="53" xfId="0" applyNumberFormat="1" applyFont="1" applyFill="1" applyBorder="1" applyAlignment="1">
      <alignment horizontal="right" vertical="center" wrapText="1"/>
    </xf>
    <xf numFmtId="164" fontId="7" fillId="3" borderId="54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3" fontId="17" fillId="0" borderId="55" xfId="0" applyNumberFormat="1" applyFont="1" applyBorder="1" applyAlignment="1">
      <alignment horizontal="right"/>
    </xf>
    <xf numFmtId="164" fontId="17" fillId="0" borderId="56" xfId="0" applyNumberFormat="1" applyFont="1" applyBorder="1" applyAlignment="1">
      <alignment horizontal="right"/>
    </xf>
    <xf numFmtId="164" fontId="18" fillId="0" borderId="48" xfId="1" applyNumberFormat="1" applyFont="1" applyBorder="1" applyAlignment="1">
      <alignment horizontal="right"/>
    </xf>
    <xf numFmtId="164" fontId="7" fillId="0" borderId="48" xfId="1" applyNumberFormat="1" applyFont="1" applyBorder="1" applyAlignment="1">
      <alignment horizontal="right"/>
    </xf>
    <xf numFmtId="164" fontId="7" fillId="0" borderId="50" xfId="1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3" borderId="8" xfId="0" applyFill="1" applyBorder="1"/>
    <xf numFmtId="1" fontId="7" fillId="3" borderId="53" xfId="0" applyNumberFormat="1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2" fontId="22" fillId="0" borderId="35" xfId="1" applyNumberFormat="1" applyFont="1" applyBorder="1" applyAlignment="1" applyProtection="1">
      <alignment vertical="center"/>
      <protection hidden="1"/>
    </xf>
    <xf numFmtId="2" fontId="22" fillId="0" borderId="36" xfId="4" applyNumberFormat="1" applyFont="1" applyBorder="1" applyAlignment="1" applyProtection="1">
      <alignment horizontal="right" vertical="center" wrapText="1"/>
      <protection hidden="1"/>
    </xf>
    <xf numFmtId="2" fontId="8" fillId="0" borderId="15" xfId="0" applyNumberFormat="1" applyFont="1" applyBorder="1" applyAlignment="1">
      <alignment vertical="center" readingOrder="1"/>
    </xf>
    <xf numFmtId="2" fontId="20" fillId="3" borderId="25" xfId="0" applyNumberFormat="1" applyFont="1" applyFill="1" applyBorder="1" applyAlignment="1">
      <alignment horizontal="center" vertical="center" readingOrder="1"/>
    </xf>
    <xf numFmtId="2" fontId="20" fillId="3" borderId="26" xfId="0" applyNumberFormat="1" applyFont="1" applyFill="1" applyBorder="1" applyAlignment="1">
      <alignment horizontal="center" vertical="center" readingOrder="1"/>
    </xf>
    <xf numFmtId="2" fontId="0" fillId="0" borderId="0" xfId="0" applyNumberFormat="1"/>
    <xf numFmtId="2" fontId="12" fillId="0" borderId="24" xfId="0" applyNumberFormat="1" applyFont="1" applyBorder="1"/>
    <xf numFmtId="2" fontId="0" fillId="0" borderId="0" xfId="1" applyNumberFormat="1" applyFont="1"/>
    <xf numFmtId="0" fontId="26" fillId="0" borderId="0" xfId="0" applyFont="1"/>
    <xf numFmtId="164" fontId="7" fillId="0" borderId="32" xfId="1" applyNumberFormat="1" applyFont="1" applyBorder="1" applyAlignment="1">
      <alignment horizontal="right"/>
    </xf>
    <xf numFmtId="10" fontId="0" fillId="0" borderId="0" xfId="1" applyNumberFormat="1" applyFont="1"/>
    <xf numFmtId="164" fontId="22" fillId="0" borderId="35" xfId="1" applyNumberFormat="1" applyFont="1" applyBorder="1" applyAlignment="1" applyProtection="1">
      <alignment vertical="center"/>
      <protection hidden="1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164" fontId="27" fillId="0" borderId="35" xfId="1" applyNumberFormat="1" applyFont="1" applyBorder="1" applyAlignment="1" applyProtection="1">
      <alignment vertical="center"/>
      <protection hidden="1"/>
    </xf>
    <xf numFmtId="164" fontId="27" fillId="0" borderId="36" xfId="4" applyNumberFormat="1" applyFont="1" applyBorder="1" applyAlignment="1" applyProtection="1">
      <alignment horizontal="right" vertical="center" wrapText="1"/>
      <protection hidden="1"/>
    </xf>
    <xf numFmtId="164" fontId="27" fillId="0" borderId="35" xfId="1" applyNumberFormat="1" applyFont="1" applyBorder="1" applyAlignment="1" applyProtection="1">
      <alignment horizontal="right" vertical="center"/>
      <protection hidden="1"/>
    </xf>
    <xf numFmtId="164" fontId="22" fillId="0" borderId="35" xfId="1" applyNumberFormat="1" applyFont="1" applyBorder="1" applyAlignment="1" applyProtection="1">
      <alignment horizontal="right" vertical="center"/>
      <protection hidden="1"/>
    </xf>
    <xf numFmtId="165" fontId="0" fillId="0" borderId="0" xfId="0" applyNumberFormat="1"/>
    <xf numFmtId="17" fontId="7" fillId="3" borderId="57" xfId="0" applyNumberFormat="1" applyFont="1" applyFill="1" applyBorder="1" applyAlignment="1">
      <alignment horizontal="right" vertical="center" wrapText="1"/>
    </xf>
    <xf numFmtId="17" fontId="7" fillId="3" borderId="58" xfId="0" applyNumberFormat="1" applyFont="1" applyFill="1" applyBorder="1" applyAlignment="1">
      <alignment horizontal="right" vertical="center" wrapText="1"/>
    </xf>
    <xf numFmtId="0" fontId="7" fillId="3" borderId="59" xfId="0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/>
    </xf>
    <xf numFmtId="0" fontId="17" fillId="2" borderId="7" xfId="0" applyFont="1" applyFill="1" applyBorder="1"/>
    <xf numFmtId="165" fontId="24" fillId="2" borderId="60" xfId="1" applyNumberFormat="1" applyFont="1" applyFill="1" applyBorder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2" borderId="0" xfId="1" applyNumberFormat="1" applyFont="1" applyFill="1" applyBorder="1" applyAlignment="1">
      <alignment horizontal="right"/>
    </xf>
    <xf numFmtId="165" fontId="24" fillId="2" borderId="39" xfId="1" applyNumberFormat="1" applyFont="1" applyFill="1" applyBorder="1" applyAlignment="1">
      <alignment horizontal="right"/>
    </xf>
    <xf numFmtId="3" fontId="24" fillId="2" borderId="60" xfId="0" applyNumberFormat="1" applyFont="1" applyFill="1" applyBorder="1" applyAlignment="1">
      <alignment horizontal="right"/>
    </xf>
    <xf numFmtId="166" fontId="24" fillId="2" borderId="60" xfId="1" applyNumberFormat="1" applyFont="1" applyFill="1" applyBorder="1" applyAlignment="1">
      <alignment horizontal="right"/>
    </xf>
    <xf numFmtId="166" fontId="24" fillId="2" borderId="39" xfId="1" applyNumberFormat="1" applyFont="1" applyFill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166" fontId="7" fillId="0" borderId="13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164" fontId="7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2" fillId="0" borderId="24" xfId="0" applyFont="1" applyBorder="1" applyAlignment="1">
      <alignment horizontal="left"/>
    </xf>
    <xf numFmtId="167" fontId="17" fillId="2" borderId="21" xfId="0" applyNumberFormat="1" applyFont="1" applyFill="1" applyBorder="1" applyAlignment="1">
      <alignment horizontal="right"/>
    </xf>
    <xf numFmtId="167" fontId="17" fillId="2" borderId="21" xfId="1" applyNumberFormat="1" applyFont="1" applyFill="1" applyBorder="1" applyAlignment="1">
      <alignment horizontal="right"/>
    </xf>
    <xf numFmtId="167" fontId="18" fillId="0" borderId="20" xfId="0" applyNumberFormat="1" applyFont="1" applyBorder="1" applyAlignment="1">
      <alignment horizontal="right"/>
    </xf>
    <xf numFmtId="167" fontId="18" fillId="0" borderId="2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7" fillId="2" borderId="20" xfId="0" applyNumberFormat="1" applyFont="1" applyFill="1" applyBorder="1" applyAlignment="1">
      <alignment horizontal="right"/>
    </xf>
    <xf numFmtId="167" fontId="17" fillId="2" borderId="2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4" borderId="11" xfId="0" applyFont="1" applyFill="1" applyBorder="1"/>
    <xf numFmtId="3" fontId="22" fillId="4" borderId="11" xfId="0" applyNumberFormat="1" applyFont="1" applyFill="1" applyBorder="1" applyAlignment="1">
      <alignment horizontal="right" vertical="center" wrapText="1"/>
    </xf>
    <xf numFmtId="164" fontId="22" fillId="4" borderId="11" xfId="1" applyNumberFormat="1" applyFont="1" applyFill="1" applyBorder="1" applyAlignment="1">
      <alignment horizontal="right" vertical="center" wrapText="1"/>
    </xf>
    <xf numFmtId="0" fontId="24" fillId="0" borderId="11" xfId="0" applyFont="1" applyBorder="1"/>
    <xf numFmtId="3" fontId="18" fillId="0" borderId="11" xfId="0" applyNumberFormat="1" applyFont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0" fontId="15" fillId="0" borderId="7" xfId="0" applyFont="1" applyBorder="1"/>
    <xf numFmtId="3" fontId="15" fillId="0" borderId="0" xfId="0" applyNumberFormat="1" applyFont="1"/>
    <xf numFmtId="164" fontId="15" fillId="4" borderId="7" xfId="1" applyNumberFormat="1" applyFont="1" applyFill="1" applyBorder="1"/>
    <xf numFmtId="3" fontId="15" fillId="4" borderId="7" xfId="0" applyNumberFormat="1" applyFont="1" applyFill="1" applyBorder="1"/>
    <xf numFmtId="164" fontId="15" fillId="0" borderId="7" xfId="1" applyNumberFormat="1" applyFont="1" applyBorder="1"/>
    <xf numFmtId="0" fontId="7" fillId="0" borderId="0" xfId="0" applyFont="1" applyAlignment="1">
      <alignment horizontal="left" indent="1"/>
    </xf>
    <xf numFmtId="0" fontId="7" fillId="0" borderId="61" xfId="0" applyFont="1" applyBorder="1"/>
    <xf numFmtId="3" fontId="22" fillId="4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5" fillId="4" borderId="0" xfId="0" applyNumberFormat="1" applyFont="1" applyFill="1"/>
    <xf numFmtId="0" fontId="12" fillId="0" borderId="0" xfId="0" applyFont="1" applyAlignment="1">
      <alignment horizontal="left"/>
    </xf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3" fontId="22" fillId="4" borderId="62" xfId="0" applyNumberFormat="1" applyFont="1" applyFill="1" applyBorder="1" applyAlignment="1">
      <alignment horizontal="right" vertical="center" wrapText="1"/>
    </xf>
    <xf numFmtId="164" fontId="22" fillId="4" borderId="62" xfId="1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indent="1"/>
    </xf>
    <xf numFmtId="3" fontId="28" fillId="0" borderId="8" xfId="0" applyNumberFormat="1" applyFont="1" applyBorder="1"/>
    <xf numFmtId="164" fontId="28" fillId="0" borderId="8" xfId="1" applyNumberFormat="1" applyFont="1" applyBorder="1"/>
    <xf numFmtId="164" fontId="28" fillId="4" borderId="8" xfId="1" applyNumberFormat="1" applyFont="1" applyFill="1" applyBorder="1"/>
    <xf numFmtId="3" fontId="28" fillId="4" borderId="8" xfId="0" applyNumberFormat="1" applyFont="1" applyFill="1" applyBorder="1"/>
    <xf numFmtId="164" fontId="28" fillId="4" borderId="8" xfId="1" applyNumberFormat="1" applyFont="1" applyFill="1" applyBorder="1" applyAlignment="1">
      <alignment horizontal="right"/>
    </xf>
    <xf numFmtId="3" fontId="28" fillId="4" borderId="8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164" fontId="15" fillId="0" borderId="8" xfId="1" applyNumberFormat="1" applyFont="1" applyBorder="1"/>
    <xf numFmtId="164" fontId="15" fillId="4" borderId="8" xfId="1" applyNumberFormat="1" applyFont="1" applyFill="1" applyBorder="1" applyAlignment="1">
      <alignment horizontal="right"/>
    </xf>
    <xf numFmtId="3" fontId="15" fillId="4" borderId="8" xfId="0" applyNumberFormat="1" applyFont="1" applyFill="1" applyBorder="1"/>
    <xf numFmtId="164" fontId="7" fillId="4" borderId="8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4" fontId="7" fillId="0" borderId="8" xfId="1" applyNumberFormat="1" applyFont="1" applyBorder="1"/>
    <xf numFmtId="3" fontId="7" fillId="4" borderId="8" xfId="0" applyNumberFormat="1" applyFont="1" applyFill="1" applyBorder="1"/>
    <xf numFmtId="164" fontId="7" fillId="4" borderId="8" xfId="1" applyNumberFormat="1" applyFont="1" applyFill="1" applyBorder="1"/>
    <xf numFmtId="3" fontId="28" fillId="0" borderId="8" xfId="0" applyNumberFormat="1" applyFont="1" applyBorder="1" applyAlignment="1">
      <alignment horizontal="right"/>
    </xf>
    <xf numFmtId="164" fontId="28" fillId="0" borderId="8" xfId="1" applyNumberFormat="1" applyFont="1" applyBorder="1" applyAlignment="1">
      <alignment horizontal="right"/>
    </xf>
    <xf numFmtId="0" fontId="7" fillId="0" borderId="61" xfId="0" applyFont="1" applyBorder="1" applyAlignment="1">
      <alignment horizontal="right"/>
    </xf>
    <xf numFmtId="164" fontId="15" fillId="4" borderId="8" xfId="1" applyNumberFormat="1" applyFont="1" applyFill="1" applyBorder="1"/>
    <xf numFmtId="0" fontId="12" fillId="0" borderId="63" xfId="0" applyFont="1" applyBorder="1" applyAlignment="1">
      <alignment horizontal="left" wrapText="1"/>
    </xf>
    <xf numFmtId="3" fontId="7" fillId="4" borderId="8" xfId="1" applyNumberFormat="1" applyFont="1" applyFill="1" applyBorder="1"/>
    <xf numFmtId="3" fontId="15" fillId="4" borderId="8" xfId="1" applyNumberFormat="1" applyFont="1" applyFill="1" applyBorder="1"/>
  </cellXfs>
  <cellStyles count="5">
    <cellStyle name="Hipervínculo" xfId="2" builtinId="8"/>
    <cellStyle name="Normal" xfId="0" builtinId="0"/>
    <cellStyle name="Normal 2 2" xfId="4" xr:uid="{3CD1F0F6-2737-4C07-BCA7-F2542997BF18}"/>
    <cellStyle name="Normal 2 6" xfId="3" xr:uid="{DD8791E3-5B97-40F1-B6DC-5C8BFA376DAD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55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5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5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5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5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57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58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59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60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61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62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6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64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66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67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68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69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70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7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7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7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7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8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8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8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8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8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8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8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8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8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9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91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92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55.xml"/><Relationship Id="rId1" Type="http://schemas.microsoft.com/office/2011/relationships/chartStyle" Target="style55.xml"/><Relationship Id="rId4" Type="http://schemas.openxmlformats.org/officeDocument/2006/relationships/chartUserShapes" Target="../drawings/drawing93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94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97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58.xml"/><Relationship Id="rId1" Type="http://schemas.microsoft.com/office/2011/relationships/chartStyle" Target="style58.xml"/><Relationship Id="rId4" Type="http://schemas.openxmlformats.org/officeDocument/2006/relationships/chartUserShapes" Target="../drawings/drawing98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59.xml"/><Relationship Id="rId1" Type="http://schemas.microsoft.com/office/2011/relationships/chartStyle" Target="style59.xml"/><Relationship Id="rId4" Type="http://schemas.openxmlformats.org/officeDocument/2006/relationships/chartUserShapes" Target="../drawings/drawing99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60.xml"/><Relationship Id="rId1" Type="http://schemas.microsoft.com/office/2011/relationships/chartStyle" Target="style60.xml"/><Relationship Id="rId4" Type="http://schemas.openxmlformats.org/officeDocument/2006/relationships/chartUserShapes" Target="../drawings/drawing100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1.xml"/><Relationship Id="rId1" Type="http://schemas.microsoft.com/office/2011/relationships/chartStyle" Target="style61.xml"/><Relationship Id="rId4" Type="http://schemas.openxmlformats.org/officeDocument/2006/relationships/chartUserShapes" Target="../drawings/drawing101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9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7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0.xml"/><Relationship Id="rId1" Type="http://schemas.openxmlformats.org/officeDocument/2006/relationships/themeOverride" Target="../theme/themeOverride69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2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3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6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2.xml"/><Relationship Id="rId1" Type="http://schemas.openxmlformats.org/officeDocument/2006/relationships/themeOverride" Target="../theme/themeOverride70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3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6.xml"/><Relationship Id="rId1" Type="http://schemas.openxmlformats.org/officeDocument/2006/relationships/themeOverride" Target="../theme/themeOverride71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0.xml"/><Relationship Id="rId1" Type="http://schemas.openxmlformats.org/officeDocument/2006/relationships/themeOverride" Target="../theme/themeOverride72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1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3.xml"/><Relationship Id="rId2" Type="http://schemas.microsoft.com/office/2011/relationships/chartColorStyle" Target="colors75.xml"/><Relationship Id="rId1" Type="http://schemas.microsoft.com/office/2011/relationships/chartStyle" Target="style75.xml"/><Relationship Id="rId4" Type="http://schemas.openxmlformats.org/officeDocument/2006/relationships/chartUserShapes" Target="../drawings/drawing133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4.xml"/><Relationship Id="rId2" Type="http://schemas.microsoft.com/office/2011/relationships/chartColorStyle" Target="colors76.xml"/><Relationship Id="rId1" Type="http://schemas.microsoft.com/office/2011/relationships/chartStyle" Target="style76.xml"/><Relationship Id="rId4" Type="http://schemas.openxmlformats.org/officeDocument/2006/relationships/chartUserShapes" Target="../drawings/drawing135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5.xml"/><Relationship Id="rId2" Type="http://schemas.microsoft.com/office/2011/relationships/chartColorStyle" Target="colors77.xml"/><Relationship Id="rId1" Type="http://schemas.microsoft.com/office/2011/relationships/chartStyle" Target="style77.xml"/><Relationship Id="rId4" Type="http://schemas.openxmlformats.org/officeDocument/2006/relationships/chartUserShapes" Target="../drawings/drawing13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D3-4A24-BD06-32BA02F5FEE0}"/>
              </c:ext>
            </c:extLst>
          </c:dPt>
          <c:val>
            <c:numRef>
              <c:f>'Viajeros entr evol mensu TF'!$I$9:$I$21</c:f>
              <c:numCache>
                <c:formatCode>#,##0</c:formatCode>
                <c:ptCount val="13"/>
                <c:pt idx="0">
                  <c:v>5390</c:v>
                </c:pt>
                <c:pt idx="1">
                  <c:v>5270</c:v>
                </c:pt>
                <c:pt idx="2">
                  <c:v>5659</c:v>
                </c:pt>
                <c:pt idx="3">
                  <c:v>5170</c:v>
                </c:pt>
                <c:pt idx="4">
                  <c:v>5013</c:v>
                </c:pt>
                <c:pt idx="5">
                  <c:v>4181</c:v>
                </c:pt>
                <c:pt idx="6">
                  <c:v>4340</c:v>
                </c:pt>
                <c:pt idx="7">
                  <c:v>4645</c:v>
                </c:pt>
                <c:pt idx="8">
                  <c:v>4521</c:v>
                </c:pt>
                <c:pt idx="9">
                  <c:v>4419</c:v>
                </c:pt>
                <c:pt idx="10">
                  <c:v>4964</c:v>
                </c:pt>
                <c:pt idx="11">
                  <c:v>4585</c:v>
                </c:pt>
                <c:pt idx="12">
                  <c:v>58157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D3-4A24-BD06-32BA02F5FEE0}"/>
            </c:ext>
          </c:extLst>
        </c:ser>
        <c:ser>
          <c:idx val="0"/>
          <c:order val="2"/>
          <c:tx>
            <c:strRef>
              <c:f>'Viajeros entr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1D3-4A24-BD06-32BA02F5FEE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TF'!$K$9:$K$21</c:f>
              <c:numCache>
                <c:formatCode>#,##0</c:formatCode>
                <c:ptCount val="13"/>
                <c:pt idx="0">
                  <c:v>5217</c:v>
                </c:pt>
                <c:pt idx="1">
                  <c:v>4803</c:v>
                </c:pt>
                <c:pt idx="2">
                  <c:v>5168</c:v>
                </c:pt>
                <c:pt idx="3">
                  <c:v>5054</c:v>
                </c:pt>
                <c:pt idx="4">
                  <c:v>4992</c:v>
                </c:pt>
                <c:pt idx="5">
                  <c:v>3964</c:v>
                </c:pt>
                <c:pt idx="6">
                  <c:v>4593</c:v>
                </c:pt>
                <c:pt idx="7">
                  <c:v>2899</c:v>
                </c:pt>
                <c:pt idx="8">
                  <c:v>5087</c:v>
                </c:pt>
                <c:pt idx="9">
                  <c:v>4919</c:v>
                </c:pt>
                <c:pt idx="10">
                  <c:v>5464</c:v>
                </c:pt>
                <c:pt idx="11">
                  <c:v>5228</c:v>
                </c:pt>
                <c:pt idx="12">
                  <c:v>57388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1D3-4A24-BD06-32BA02F5FEE0}"/>
            </c:ext>
          </c:extLst>
        </c:ser>
        <c:ser>
          <c:idx val="1"/>
          <c:order val="3"/>
          <c:tx>
            <c:strRef>
              <c:f>'Viajeros entr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D3-4A24-BD06-32BA02F5FEE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1D3-4A24-BD06-32BA02F5FEE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TF'!$M$9:$M$21</c:f>
              <c:numCache>
                <c:formatCode>#,##0</c:formatCode>
                <c:ptCount val="13"/>
                <c:pt idx="0">
                  <c:v>5311</c:v>
                </c:pt>
                <c:pt idx="1">
                  <c:v>4194</c:v>
                </c:pt>
                <c:pt idx="2">
                  <c:v>5342</c:v>
                </c:pt>
                <c:pt idx="3">
                  <c:v>4308</c:v>
                </c:pt>
                <c:pt idx="4">
                  <c:v>4998</c:v>
                </c:pt>
                <c:pt idx="5">
                  <c:v>4119</c:v>
                </c:pt>
                <c:pt idx="6">
                  <c:v>3637</c:v>
                </c:pt>
                <c:pt idx="7">
                  <c:v>4117</c:v>
                </c:pt>
                <c:pt idx="8">
                  <c:v>4387</c:v>
                </c:pt>
                <c:pt idx="9">
                  <c:v>5990</c:v>
                </c:pt>
                <c:pt idx="12">
                  <c:v>46403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1D3-4A24-BD06-32BA02F5F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1D3-4A24-BD06-32BA02F5FEE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5197</c:v>
                      </c:pt>
                      <c:pt idx="1">
                        <c:v>5359</c:v>
                      </c:pt>
                      <c:pt idx="2">
                        <c:v>2198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2777</c:v>
                      </c:pt>
                      <c:pt idx="8">
                        <c:v>1764</c:v>
                      </c:pt>
                      <c:pt idx="9">
                        <c:v>1764</c:v>
                      </c:pt>
                      <c:pt idx="10">
                        <c:v>1763</c:v>
                      </c:pt>
                      <c:pt idx="11">
                        <c:v>1794</c:v>
                      </c:pt>
                      <c:pt idx="12">
                        <c:v>24221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1D3-4A24-BD06-32BA02F5FEE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1D3-4A24-BD06-32BA02F5FEE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1D3-4A24-BD06-32BA02F5FEE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1D3-4A24-BD06-32BA02F5FEE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1D3-4A24-BD06-32BA02F5FEE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1D3-4A24-BD06-32BA02F5FEE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1D3-4A24-BD06-32BA02F5FEE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1D3-4A24-BD06-32BA02F5FEE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1D3-4A24-BD06-32BA02F5FEE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1D3-4A24-BD06-32BA02F5FEE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1D3-4A24-BD06-32BA02F5FEE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1D3-4A24-BD06-32BA02F5FEE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1D3-4A24-BD06-32BA02F5FEE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1D3-4A24-BD06-32BA02F5FEE0}"/>
              </c:ext>
            </c:extLst>
          </c:dPt>
          <c:cat>
            <c:strRef>
              <c:f>'Viajeros entr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TF'!$N$9:$N$21</c:f>
              <c:numCache>
                <c:formatCode>0.0%</c:formatCode>
                <c:ptCount val="13"/>
                <c:pt idx="0">
                  <c:v>1.8018018018018056E-2</c:v>
                </c:pt>
                <c:pt idx="1">
                  <c:v>-0.12679575265459087</c:v>
                </c:pt>
                <c:pt idx="2">
                  <c:v>3.3668730650154854E-2</c:v>
                </c:pt>
                <c:pt idx="3">
                  <c:v>-0.147605856747131</c:v>
                </c:pt>
                <c:pt idx="4">
                  <c:v>1.2019230769231282E-3</c:v>
                </c:pt>
                <c:pt idx="5">
                  <c:v>3.9101917255297769E-2</c:v>
                </c:pt>
                <c:pt idx="6">
                  <c:v>-0.20814282603962553</c:v>
                </c:pt>
                <c:pt idx="7">
                  <c:v>0.42014487754398067</c:v>
                </c:pt>
                <c:pt idx="8">
                  <c:v>-0.13760566149007269</c:v>
                </c:pt>
                <c:pt idx="9">
                  <c:v>0.21772718032120353</c:v>
                </c:pt>
                <c:pt idx="12">
                  <c:v>-6.2746273770772909E-3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1D3-4A24-BD06-32BA02F5F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97-4508-ADD1-ED1D33D5BFD3}"/>
              </c:ext>
            </c:extLst>
          </c:dPt>
          <c:val>
            <c:numRef>
              <c:f>'Viajeros entr evol mensu TF'!$I$207:$I$219</c:f>
              <c:numCache>
                <c:formatCode>#,##0</c:formatCode>
                <c:ptCount val="13"/>
                <c:pt idx="0">
                  <c:v>137</c:v>
                </c:pt>
                <c:pt idx="1">
                  <c:v>88</c:v>
                </c:pt>
                <c:pt idx="2">
                  <c:v>155</c:v>
                </c:pt>
                <c:pt idx="3">
                  <c:v>80</c:v>
                </c:pt>
                <c:pt idx="4">
                  <c:v>41</c:v>
                </c:pt>
                <c:pt idx="5">
                  <c:v>30</c:v>
                </c:pt>
                <c:pt idx="6">
                  <c:v>38</c:v>
                </c:pt>
                <c:pt idx="7">
                  <c:v>46</c:v>
                </c:pt>
                <c:pt idx="8">
                  <c:v>31</c:v>
                </c:pt>
                <c:pt idx="9">
                  <c:v>65</c:v>
                </c:pt>
                <c:pt idx="10">
                  <c:v>114</c:v>
                </c:pt>
                <c:pt idx="11">
                  <c:v>113</c:v>
                </c:pt>
                <c:pt idx="12">
                  <c:v>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97-4508-ADD1-ED1D33D5BFD3}"/>
            </c:ext>
          </c:extLst>
        </c:ser>
        <c:ser>
          <c:idx val="0"/>
          <c:order val="2"/>
          <c:tx>
            <c:strRef>
              <c:f>'Viajeros entr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A97-4508-ADD1-ED1D33D5BFD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TF'!$K$207:$K$219</c:f>
              <c:numCache>
                <c:formatCode>#,##0</c:formatCode>
                <c:ptCount val="13"/>
                <c:pt idx="0">
                  <c:v>154</c:v>
                </c:pt>
                <c:pt idx="1">
                  <c:v>146</c:v>
                </c:pt>
                <c:pt idx="2">
                  <c:v>158</c:v>
                </c:pt>
                <c:pt idx="3">
                  <c:v>62</c:v>
                </c:pt>
                <c:pt idx="4">
                  <c:v>42</c:v>
                </c:pt>
                <c:pt idx="5">
                  <c:v>36</c:v>
                </c:pt>
                <c:pt idx="6">
                  <c:v>29</c:v>
                </c:pt>
                <c:pt idx="7">
                  <c:v>43</c:v>
                </c:pt>
                <c:pt idx="8">
                  <c:v>31</c:v>
                </c:pt>
                <c:pt idx="9">
                  <c:v>79</c:v>
                </c:pt>
                <c:pt idx="10">
                  <c:v>78</c:v>
                </c:pt>
                <c:pt idx="11">
                  <c:v>75</c:v>
                </c:pt>
                <c:pt idx="12">
                  <c:v>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97-4508-ADD1-ED1D33D5BFD3}"/>
            </c:ext>
          </c:extLst>
        </c:ser>
        <c:ser>
          <c:idx val="1"/>
          <c:order val="3"/>
          <c:tx>
            <c:strRef>
              <c:f>'Viajeros entr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A97-4508-ADD1-ED1D33D5BFD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A97-4508-ADD1-ED1D33D5BFD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TF'!$M$207:$M$219</c:f>
              <c:numCache>
                <c:formatCode>#,##0</c:formatCode>
                <c:ptCount val="13"/>
                <c:pt idx="0">
                  <c:v>182</c:v>
                </c:pt>
                <c:pt idx="1">
                  <c:v>134</c:v>
                </c:pt>
                <c:pt idx="2">
                  <c:v>109</c:v>
                </c:pt>
                <c:pt idx="3">
                  <c:v>48</c:v>
                </c:pt>
                <c:pt idx="4">
                  <c:v>70</c:v>
                </c:pt>
                <c:pt idx="5">
                  <c:v>33</c:v>
                </c:pt>
                <c:pt idx="6">
                  <c:v>46</c:v>
                </c:pt>
                <c:pt idx="7">
                  <c:v>23</c:v>
                </c:pt>
                <c:pt idx="8">
                  <c:v>22</c:v>
                </c:pt>
                <c:pt idx="9">
                  <c:v>53</c:v>
                </c:pt>
                <c:pt idx="12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A97-4508-ADD1-ED1D33D5B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A97-4508-ADD1-ED1D33D5BFD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89</c:v>
                      </c:pt>
                      <c:pt idx="1">
                        <c:v>153</c:v>
                      </c:pt>
                      <c:pt idx="2">
                        <c:v>23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</c:v>
                      </c:pt>
                      <c:pt idx="8">
                        <c:v>6</c:v>
                      </c:pt>
                      <c:pt idx="9">
                        <c:v>4</c:v>
                      </c:pt>
                      <c:pt idx="10">
                        <c:v>18</c:v>
                      </c:pt>
                      <c:pt idx="11">
                        <c:v>14</c:v>
                      </c:pt>
                      <c:pt idx="12">
                        <c:v>323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A97-4508-ADD1-ED1D33D5BFD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A97-4508-ADD1-ED1D33D5BFD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A97-4508-ADD1-ED1D33D5BFD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A97-4508-ADD1-ED1D33D5BFD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A97-4508-ADD1-ED1D33D5BFD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A97-4508-ADD1-ED1D33D5BFD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A97-4508-ADD1-ED1D33D5BFD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A97-4508-ADD1-ED1D33D5BFD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A97-4508-ADD1-ED1D33D5BFD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A97-4508-ADD1-ED1D33D5BFD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A97-4508-ADD1-ED1D33D5BFD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A97-4508-ADD1-ED1D33D5BFD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A97-4508-ADD1-ED1D33D5BFD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A97-4508-ADD1-ED1D33D5BFD3}"/>
              </c:ext>
            </c:extLst>
          </c:dPt>
          <c:cat>
            <c:strRef>
              <c:f>'Viajeros entr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TF'!$N$207:$N$219</c:f>
              <c:numCache>
                <c:formatCode>0.0%</c:formatCode>
                <c:ptCount val="13"/>
                <c:pt idx="0">
                  <c:v>0.18181818181818188</c:v>
                </c:pt>
                <c:pt idx="1">
                  <c:v>-8.2191780821917804E-2</c:v>
                </c:pt>
                <c:pt idx="2">
                  <c:v>-0.310126582278481</c:v>
                </c:pt>
                <c:pt idx="3">
                  <c:v>-0.22580645161290325</c:v>
                </c:pt>
                <c:pt idx="4">
                  <c:v>0.66666666666666674</c:v>
                </c:pt>
                <c:pt idx="5">
                  <c:v>-8.333333333333337E-2</c:v>
                </c:pt>
                <c:pt idx="6">
                  <c:v>0.5862068965517242</c:v>
                </c:pt>
                <c:pt idx="7">
                  <c:v>-0.46511627906976749</c:v>
                </c:pt>
                <c:pt idx="8">
                  <c:v>-0.29032258064516125</c:v>
                </c:pt>
                <c:pt idx="9">
                  <c:v>-0.32911392405063289</c:v>
                </c:pt>
                <c:pt idx="12">
                  <c:v>-7.6923076923076872E-2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A97-4508-ADD1-ED1D33D5B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769-457A-838D-323A3948A60E}"/>
              </c:ext>
            </c:extLst>
          </c:dPt>
          <c:val>
            <c:numRef>
              <c:f>'Viajeros entr evol mensu TF'!$I$229:$I$241</c:f>
              <c:numCache>
                <c:formatCode>#,##0</c:formatCode>
                <c:ptCount val="13"/>
                <c:pt idx="0">
                  <c:v>81</c:v>
                </c:pt>
                <c:pt idx="1">
                  <c:v>33</c:v>
                </c:pt>
                <c:pt idx="2">
                  <c:v>71</c:v>
                </c:pt>
                <c:pt idx="3">
                  <c:v>44</c:v>
                </c:pt>
                <c:pt idx="4">
                  <c:v>32</c:v>
                </c:pt>
                <c:pt idx="5">
                  <c:v>32</c:v>
                </c:pt>
                <c:pt idx="6">
                  <c:v>43</c:v>
                </c:pt>
                <c:pt idx="7">
                  <c:v>49</c:v>
                </c:pt>
                <c:pt idx="8">
                  <c:v>41</c:v>
                </c:pt>
                <c:pt idx="9">
                  <c:v>40</c:v>
                </c:pt>
                <c:pt idx="10">
                  <c:v>105</c:v>
                </c:pt>
                <c:pt idx="11">
                  <c:v>79</c:v>
                </c:pt>
                <c:pt idx="12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69-457A-838D-323A3948A60E}"/>
            </c:ext>
          </c:extLst>
        </c:ser>
        <c:ser>
          <c:idx val="0"/>
          <c:order val="2"/>
          <c:tx>
            <c:strRef>
              <c:f>'Viajeros entr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769-457A-838D-323A3948A60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TF'!$K$229:$K$241</c:f>
              <c:numCache>
                <c:formatCode>#,##0</c:formatCode>
                <c:ptCount val="13"/>
                <c:pt idx="0">
                  <c:v>171</c:v>
                </c:pt>
                <c:pt idx="1">
                  <c:v>95</c:v>
                </c:pt>
                <c:pt idx="2">
                  <c:v>93</c:v>
                </c:pt>
                <c:pt idx="3">
                  <c:v>87</c:v>
                </c:pt>
                <c:pt idx="4">
                  <c:v>49</c:v>
                </c:pt>
                <c:pt idx="5">
                  <c:v>19</c:v>
                </c:pt>
                <c:pt idx="6">
                  <c:v>25</c:v>
                </c:pt>
                <c:pt idx="7">
                  <c:v>59</c:v>
                </c:pt>
                <c:pt idx="8">
                  <c:v>41</c:v>
                </c:pt>
                <c:pt idx="9">
                  <c:v>57</c:v>
                </c:pt>
                <c:pt idx="10">
                  <c:v>64</c:v>
                </c:pt>
                <c:pt idx="11">
                  <c:v>143</c:v>
                </c:pt>
                <c:pt idx="12">
                  <c:v>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69-457A-838D-323A3948A60E}"/>
            </c:ext>
          </c:extLst>
        </c:ser>
        <c:ser>
          <c:idx val="1"/>
          <c:order val="3"/>
          <c:tx>
            <c:strRef>
              <c:f>'Viajeros entr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769-457A-838D-323A3948A60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769-457A-838D-323A3948A60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TF'!$M$229:$M$241</c:f>
              <c:numCache>
                <c:formatCode>#,##0</c:formatCode>
                <c:ptCount val="13"/>
                <c:pt idx="0">
                  <c:v>130</c:v>
                </c:pt>
                <c:pt idx="1">
                  <c:v>92</c:v>
                </c:pt>
                <c:pt idx="2">
                  <c:v>112</c:v>
                </c:pt>
                <c:pt idx="3">
                  <c:v>94</c:v>
                </c:pt>
                <c:pt idx="4">
                  <c:v>38</c:v>
                </c:pt>
                <c:pt idx="5">
                  <c:v>18</c:v>
                </c:pt>
                <c:pt idx="6">
                  <c:v>39</c:v>
                </c:pt>
                <c:pt idx="7">
                  <c:v>37</c:v>
                </c:pt>
                <c:pt idx="8">
                  <c:v>44</c:v>
                </c:pt>
                <c:pt idx="9">
                  <c:v>66</c:v>
                </c:pt>
                <c:pt idx="12">
                  <c:v>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769-457A-838D-323A3948A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769-457A-838D-323A3948A60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71</c:v>
                      </c:pt>
                      <c:pt idx="1">
                        <c:v>29</c:v>
                      </c:pt>
                      <c:pt idx="2">
                        <c:v>32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45</c:v>
                      </c:pt>
                      <c:pt idx="8">
                        <c:v>40</c:v>
                      </c:pt>
                      <c:pt idx="9">
                        <c:v>39</c:v>
                      </c:pt>
                      <c:pt idx="10">
                        <c:v>51</c:v>
                      </c:pt>
                      <c:pt idx="11">
                        <c:v>20</c:v>
                      </c:pt>
                      <c:pt idx="12">
                        <c:v>351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769-457A-838D-323A3948A60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769-457A-838D-323A3948A60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769-457A-838D-323A3948A60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769-457A-838D-323A3948A60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769-457A-838D-323A3948A60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769-457A-838D-323A3948A60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769-457A-838D-323A3948A60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769-457A-838D-323A3948A60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769-457A-838D-323A3948A60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769-457A-838D-323A3948A60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769-457A-838D-323A3948A60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769-457A-838D-323A3948A60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769-457A-838D-323A3948A60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769-457A-838D-323A3948A60E}"/>
              </c:ext>
            </c:extLst>
          </c:dPt>
          <c:cat>
            <c:strRef>
              <c:f>'Viajeros entr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TF'!$N$229:$N$241</c:f>
              <c:numCache>
                <c:formatCode>0.0%</c:formatCode>
                <c:ptCount val="13"/>
                <c:pt idx="0">
                  <c:v>-0.23976608187134507</c:v>
                </c:pt>
                <c:pt idx="1">
                  <c:v>-3.157894736842104E-2</c:v>
                </c:pt>
                <c:pt idx="2">
                  <c:v>0.20430107526881724</c:v>
                </c:pt>
                <c:pt idx="3">
                  <c:v>8.0459770114942541E-2</c:v>
                </c:pt>
                <c:pt idx="4">
                  <c:v>-0.22448979591836737</c:v>
                </c:pt>
                <c:pt idx="5">
                  <c:v>-5.2631578947368474E-2</c:v>
                </c:pt>
                <c:pt idx="6">
                  <c:v>0.56000000000000005</c:v>
                </c:pt>
                <c:pt idx="7">
                  <c:v>-0.3728813559322034</c:v>
                </c:pt>
                <c:pt idx="8">
                  <c:v>7.3170731707317138E-2</c:v>
                </c:pt>
                <c:pt idx="9">
                  <c:v>0.15789473684210531</c:v>
                </c:pt>
                <c:pt idx="12">
                  <c:v>-3.7356321839080442E-2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769-457A-838D-323A3948A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C2-4931-A54A-9AF3428C0099}"/>
              </c:ext>
            </c:extLst>
          </c:dPt>
          <c:val>
            <c:numRef>
              <c:f>'Viajeros entr evol mensu TF'!$I$251:$I$263</c:f>
              <c:numCache>
                <c:formatCode>#,##0</c:formatCode>
                <c:ptCount val="13"/>
                <c:pt idx="0">
                  <c:v>36</c:v>
                </c:pt>
                <c:pt idx="1">
                  <c:v>17</c:v>
                </c:pt>
                <c:pt idx="2">
                  <c:v>14</c:v>
                </c:pt>
                <c:pt idx="3">
                  <c:v>16</c:v>
                </c:pt>
                <c:pt idx="4">
                  <c:v>2</c:v>
                </c:pt>
                <c:pt idx="5">
                  <c:v>2</c:v>
                </c:pt>
                <c:pt idx="6">
                  <c:v>9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24</c:v>
                </c:pt>
                <c:pt idx="11">
                  <c:v>17</c:v>
                </c:pt>
                <c:pt idx="12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C2-4931-A54A-9AF3428C0099}"/>
            </c:ext>
          </c:extLst>
        </c:ser>
        <c:ser>
          <c:idx val="0"/>
          <c:order val="2"/>
          <c:tx>
            <c:strRef>
              <c:f>'Viajeros entr evol mensu TF'!$K$249:$L$249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6C2-4931-A54A-9AF3428C009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TF'!$K$251:$K$263</c:f>
              <c:numCache>
                <c:formatCode>#,##0</c:formatCode>
                <c:ptCount val="13"/>
                <c:pt idx="0">
                  <c:v>58</c:v>
                </c:pt>
                <c:pt idx="1">
                  <c:v>33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  <c:pt idx="5">
                  <c:v>47</c:v>
                </c:pt>
                <c:pt idx="6">
                  <c:v>10</c:v>
                </c:pt>
                <c:pt idx="7">
                  <c:v>4</c:v>
                </c:pt>
                <c:pt idx="8">
                  <c:v>13</c:v>
                </c:pt>
                <c:pt idx="9">
                  <c:v>10</c:v>
                </c:pt>
                <c:pt idx="10">
                  <c:v>38</c:v>
                </c:pt>
                <c:pt idx="11">
                  <c:v>4</c:v>
                </c:pt>
                <c:pt idx="12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C2-4931-A54A-9AF3428C0099}"/>
            </c:ext>
          </c:extLst>
        </c:ser>
        <c:ser>
          <c:idx val="1"/>
          <c:order val="3"/>
          <c:tx>
            <c:strRef>
              <c:f>'Viajeros entr evol mensu TF'!$M$249:$N$249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C2-4931-A54A-9AF3428C009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6C2-4931-A54A-9AF3428C009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TF'!$M$251:$M$263</c:f>
              <c:numCache>
                <c:formatCode>#,##0</c:formatCode>
                <c:ptCount val="13"/>
                <c:pt idx="0">
                  <c:v>22</c:v>
                </c:pt>
                <c:pt idx="1">
                  <c:v>78</c:v>
                </c:pt>
                <c:pt idx="2">
                  <c:v>10</c:v>
                </c:pt>
                <c:pt idx="3">
                  <c:v>12</c:v>
                </c:pt>
                <c:pt idx="4">
                  <c:v>4</c:v>
                </c:pt>
                <c:pt idx="5">
                  <c:v>2</c:v>
                </c:pt>
                <c:pt idx="6">
                  <c:v>25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2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6C2-4931-A54A-9AF3428C0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6C2-4931-A54A-9AF3428C009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87</c:v>
                      </c:pt>
                      <c:pt idx="1">
                        <c:v>17</c:v>
                      </c:pt>
                      <c:pt idx="2">
                        <c:v>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0</c:v>
                      </c:pt>
                      <c:pt idx="10">
                        <c:v>4</c:v>
                      </c:pt>
                      <c:pt idx="11">
                        <c:v>2</c:v>
                      </c:pt>
                      <c:pt idx="12">
                        <c:v>124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6C2-4931-A54A-9AF3428C009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TF'!$N$250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6C2-4931-A54A-9AF3428C009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6C2-4931-A54A-9AF3428C009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6C2-4931-A54A-9AF3428C009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6C2-4931-A54A-9AF3428C009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6C2-4931-A54A-9AF3428C009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6C2-4931-A54A-9AF3428C009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6C2-4931-A54A-9AF3428C009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6C2-4931-A54A-9AF3428C009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6C2-4931-A54A-9AF3428C009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6C2-4931-A54A-9AF3428C009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6C2-4931-A54A-9AF3428C009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6C2-4931-A54A-9AF3428C009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6C2-4931-A54A-9AF3428C0099}"/>
              </c:ext>
            </c:extLst>
          </c:dPt>
          <c:cat>
            <c:strRef>
              <c:f>'Viajeros entr evol mensu TF'!$B$251:$B$262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TF'!$N$251:$N$263</c:f>
              <c:numCache>
                <c:formatCode>0.0%</c:formatCode>
                <c:ptCount val="13"/>
                <c:pt idx="0">
                  <c:v>-0.62068965517241381</c:v>
                </c:pt>
                <c:pt idx="1">
                  <c:v>1.3636363636363638</c:v>
                </c:pt>
                <c:pt idx="2">
                  <c:v>-0.23076923076923073</c:v>
                </c:pt>
                <c:pt idx="3">
                  <c:v>0</c:v>
                </c:pt>
                <c:pt idx="4">
                  <c:v>0</c:v>
                </c:pt>
                <c:pt idx="5">
                  <c:v>-0.95744680851063835</c:v>
                </c:pt>
                <c:pt idx="6">
                  <c:v>1.5</c:v>
                </c:pt>
                <c:pt idx="7">
                  <c:v>-0.5</c:v>
                </c:pt>
                <c:pt idx="8">
                  <c:v>-0.84615384615384615</c:v>
                </c:pt>
                <c:pt idx="9">
                  <c:v>-0.6</c:v>
                </c:pt>
                <c:pt idx="12">
                  <c:v>-0.1436170212765957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6C2-4931-A54A-9AF3428C0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8A6-44D1-B191-F920C69035BA}"/>
              </c:ext>
            </c:extLst>
          </c:dPt>
          <c:val>
            <c:numRef>
              <c:f>'Viajeros entr evol mensu TF'!$I$273:$I$285</c:f>
              <c:numCache>
                <c:formatCode>#,##0</c:formatCode>
                <c:ptCount val="13"/>
                <c:pt idx="0">
                  <c:v>64</c:v>
                </c:pt>
                <c:pt idx="1">
                  <c:v>16</c:v>
                </c:pt>
                <c:pt idx="2">
                  <c:v>38</c:v>
                </c:pt>
                <c:pt idx="3">
                  <c:v>22</c:v>
                </c:pt>
                <c:pt idx="4">
                  <c:v>6</c:v>
                </c:pt>
                <c:pt idx="5">
                  <c:v>9</c:v>
                </c:pt>
                <c:pt idx="6">
                  <c:v>9</c:v>
                </c:pt>
                <c:pt idx="7">
                  <c:v>14</c:v>
                </c:pt>
                <c:pt idx="8">
                  <c:v>12</c:v>
                </c:pt>
                <c:pt idx="9">
                  <c:v>16</c:v>
                </c:pt>
                <c:pt idx="10">
                  <c:v>32</c:v>
                </c:pt>
                <c:pt idx="11">
                  <c:v>32</c:v>
                </c:pt>
                <c:pt idx="12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A6-44D1-B191-F920C69035BA}"/>
            </c:ext>
          </c:extLst>
        </c:ser>
        <c:ser>
          <c:idx val="0"/>
          <c:order val="2"/>
          <c:tx>
            <c:strRef>
              <c:f>'Viajeros entr evol mensu TF'!$K$271:$L$271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8A6-44D1-B191-F920C69035B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TF'!$K$273:$K$285</c:f>
              <c:numCache>
                <c:formatCode>#,##0</c:formatCode>
                <c:ptCount val="13"/>
                <c:pt idx="0">
                  <c:v>161</c:v>
                </c:pt>
                <c:pt idx="1">
                  <c:v>45</c:v>
                </c:pt>
                <c:pt idx="2">
                  <c:v>35</c:v>
                </c:pt>
                <c:pt idx="3">
                  <c:v>20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10</c:v>
                </c:pt>
                <c:pt idx="9">
                  <c:v>26</c:v>
                </c:pt>
                <c:pt idx="10">
                  <c:v>34</c:v>
                </c:pt>
                <c:pt idx="11">
                  <c:v>42</c:v>
                </c:pt>
                <c:pt idx="12">
                  <c:v>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A6-44D1-B191-F920C69035BA}"/>
            </c:ext>
          </c:extLst>
        </c:ser>
        <c:ser>
          <c:idx val="1"/>
          <c:order val="3"/>
          <c:tx>
            <c:strRef>
              <c:f>'Viajeros entr evol mensu TF'!$M$271:$N$271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8A6-44D1-B191-F920C69035B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8A6-44D1-B191-F920C69035B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TF'!$M$273:$M$285</c:f>
              <c:numCache>
                <c:formatCode>#,##0</c:formatCode>
                <c:ptCount val="13"/>
                <c:pt idx="0">
                  <c:v>83</c:v>
                </c:pt>
                <c:pt idx="1">
                  <c:v>11</c:v>
                </c:pt>
                <c:pt idx="2">
                  <c:v>29</c:v>
                </c:pt>
                <c:pt idx="3">
                  <c:v>6</c:v>
                </c:pt>
                <c:pt idx="4">
                  <c:v>10</c:v>
                </c:pt>
                <c:pt idx="5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6</c:v>
                </c:pt>
                <c:pt idx="9">
                  <c:v>18</c:v>
                </c:pt>
                <c:pt idx="12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8A6-44D1-B191-F920C6903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8A6-44D1-B191-F920C69035B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</c:v>
                      </c:pt>
                      <c:pt idx="1">
                        <c:v>26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</c:v>
                      </c:pt>
                      <c:pt idx="8">
                        <c:v>2</c:v>
                      </c:pt>
                      <c:pt idx="9">
                        <c:v>4</c:v>
                      </c:pt>
                      <c:pt idx="10">
                        <c:v>12</c:v>
                      </c:pt>
                      <c:pt idx="11">
                        <c:v>5</c:v>
                      </c:pt>
                      <c:pt idx="12">
                        <c:v>89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8A6-44D1-B191-F920C69035B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TF'!$N$272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8A6-44D1-B191-F920C69035B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8A6-44D1-B191-F920C69035B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8A6-44D1-B191-F920C69035B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8A6-44D1-B191-F920C69035B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8A6-44D1-B191-F920C69035B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8A6-44D1-B191-F920C69035B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8A6-44D1-B191-F920C69035B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8A6-44D1-B191-F920C69035B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8A6-44D1-B191-F920C69035B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8A6-44D1-B191-F920C69035B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8A6-44D1-B191-F920C69035B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8A6-44D1-B191-F920C69035B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8A6-44D1-B191-F920C69035BA}"/>
              </c:ext>
            </c:extLst>
          </c:dPt>
          <c:cat>
            <c:strRef>
              <c:f>'Viajeros entr evol mensu TF'!$B$273:$B$284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TF'!$N$273:$N$285</c:f>
              <c:numCache>
                <c:formatCode>0.0%</c:formatCode>
                <c:ptCount val="13"/>
                <c:pt idx="0">
                  <c:v>-0.48447204968944102</c:v>
                </c:pt>
                <c:pt idx="1">
                  <c:v>-0.75555555555555554</c:v>
                </c:pt>
                <c:pt idx="2">
                  <c:v>-0.17142857142857137</c:v>
                </c:pt>
                <c:pt idx="3">
                  <c:v>-0.7</c:v>
                </c:pt>
                <c:pt idx="4">
                  <c:v>1.5</c:v>
                </c:pt>
                <c:pt idx="5">
                  <c:v>0</c:v>
                </c:pt>
                <c:pt idx="6">
                  <c:v>2</c:v>
                </c:pt>
                <c:pt idx="7">
                  <c:v>-0.19999999999999996</c:v>
                </c:pt>
                <c:pt idx="8">
                  <c:v>-0.4</c:v>
                </c:pt>
                <c:pt idx="9">
                  <c:v>-0.30769230769230771</c:v>
                </c:pt>
                <c:pt idx="12">
                  <c:v>-0.42532467532467533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8A6-44D1-B191-F920C6903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F3-40A7-A519-894690EC6552}"/>
              </c:ext>
            </c:extLst>
          </c:dPt>
          <c:val>
            <c:numRef>
              <c:f>'Viajeros entr evol mensu TF cat'!$I$9:$I$21</c:f>
              <c:numCache>
                <c:formatCode>#,##0</c:formatCode>
                <c:ptCount val="13"/>
                <c:pt idx="0">
                  <c:v>5390</c:v>
                </c:pt>
                <c:pt idx="1">
                  <c:v>5270</c:v>
                </c:pt>
                <c:pt idx="2">
                  <c:v>5659</c:v>
                </c:pt>
                <c:pt idx="3">
                  <c:v>5170</c:v>
                </c:pt>
                <c:pt idx="4">
                  <c:v>5013</c:v>
                </c:pt>
                <c:pt idx="5">
                  <c:v>4181</c:v>
                </c:pt>
                <c:pt idx="6">
                  <c:v>4340</c:v>
                </c:pt>
                <c:pt idx="7">
                  <c:v>4645</c:v>
                </c:pt>
                <c:pt idx="8">
                  <c:v>4521</c:v>
                </c:pt>
                <c:pt idx="9">
                  <c:v>4419</c:v>
                </c:pt>
                <c:pt idx="10">
                  <c:v>4964</c:v>
                </c:pt>
                <c:pt idx="11">
                  <c:v>4585</c:v>
                </c:pt>
                <c:pt idx="12">
                  <c:v>58157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F3-40A7-A519-894690EC6552}"/>
            </c:ext>
          </c:extLst>
        </c:ser>
        <c:ser>
          <c:idx val="0"/>
          <c:order val="2"/>
          <c:tx>
            <c:strRef>
              <c:f>'Viajeros entr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1F3-40A7-A519-894690EC6552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cat'!$K$9:$K$21</c:f>
              <c:numCache>
                <c:formatCode>#,##0</c:formatCode>
                <c:ptCount val="13"/>
                <c:pt idx="0">
                  <c:v>5217</c:v>
                </c:pt>
                <c:pt idx="1">
                  <c:v>4803</c:v>
                </c:pt>
                <c:pt idx="2">
                  <c:v>5168</c:v>
                </c:pt>
                <c:pt idx="3">
                  <c:v>5054</c:v>
                </c:pt>
                <c:pt idx="4">
                  <c:v>4992</c:v>
                </c:pt>
                <c:pt idx="5">
                  <c:v>3964</c:v>
                </c:pt>
                <c:pt idx="6">
                  <c:v>4593</c:v>
                </c:pt>
                <c:pt idx="7">
                  <c:v>2899</c:v>
                </c:pt>
                <c:pt idx="8">
                  <c:v>5087</c:v>
                </c:pt>
                <c:pt idx="9">
                  <c:v>4919</c:v>
                </c:pt>
                <c:pt idx="10">
                  <c:v>5464</c:v>
                </c:pt>
                <c:pt idx="11">
                  <c:v>5228</c:v>
                </c:pt>
                <c:pt idx="12">
                  <c:v>57388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F3-40A7-A519-894690EC6552}"/>
            </c:ext>
          </c:extLst>
        </c:ser>
        <c:ser>
          <c:idx val="1"/>
          <c:order val="3"/>
          <c:tx>
            <c:strRef>
              <c:f>'Viajeros entr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1F3-40A7-A519-894690EC655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1F3-40A7-A519-894690EC6552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cat'!$M$9:$M$21</c:f>
              <c:numCache>
                <c:formatCode>#,##0</c:formatCode>
                <c:ptCount val="13"/>
                <c:pt idx="0">
                  <c:v>5311</c:v>
                </c:pt>
                <c:pt idx="1">
                  <c:v>4194</c:v>
                </c:pt>
                <c:pt idx="2">
                  <c:v>5342</c:v>
                </c:pt>
                <c:pt idx="3">
                  <c:v>4308</c:v>
                </c:pt>
                <c:pt idx="4">
                  <c:v>4998</c:v>
                </c:pt>
                <c:pt idx="5">
                  <c:v>4119</c:v>
                </c:pt>
                <c:pt idx="6">
                  <c:v>3637</c:v>
                </c:pt>
                <c:pt idx="7">
                  <c:v>4117</c:v>
                </c:pt>
                <c:pt idx="8">
                  <c:v>4387</c:v>
                </c:pt>
                <c:pt idx="9">
                  <c:v>5990</c:v>
                </c:pt>
                <c:pt idx="12">
                  <c:v>46403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1F3-40A7-A519-894690EC6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1F3-40A7-A519-894690EC655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5197</c:v>
                      </c:pt>
                      <c:pt idx="1">
                        <c:v>5359</c:v>
                      </c:pt>
                      <c:pt idx="2">
                        <c:v>2198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2777</c:v>
                      </c:pt>
                      <c:pt idx="8">
                        <c:v>1764</c:v>
                      </c:pt>
                      <c:pt idx="9">
                        <c:v>1764</c:v>
                      </c:pt>
                      <c:pt idx="10">
                        <c:v>1763</c:v>
                      </c:pt>
                      <c:pt idx="11">
                        <c:v>1794</c:v>
                      </c:pt>
                      <c:pt idx="12">
                        <c:v>24221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1F3-40A7-A519-894690EC655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1F3-40A7-A519-894690EC655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1F3-40A7-A519-894690EC655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1F3-40A7-A519-894690EC655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1F3-40A7-A519-894690EC655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1F3-40A7-A519-894690EC655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1F3-40A7-A519-894690EC655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1F3-40A7-A519-894690EC655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1F3-40A7-A519-894690EC655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1F3-40A7-A519-894690EC655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1F3-40A7-A519-894690EC655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1F3-40A7-A519-894690EC655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1F3-40A7-A519-894690EC655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1F3-40A7-A519-894690EC6552}"/>
              </c:ext>
            </c:extLst>
          </c:dPt>
          <c:cat>
            <c:strRef>
              <c:f>'Viajeros entr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cat'!$N$9:$N$21</c:f>
              <c:numCache>
                <c:formatCode>0.0%</c:formatCode>
                <c:ptCount val="13"/>
                <c:pt idx="0">
                  <c:v>1.8018018018018056E-2</c:v>
                </c:pt>
                <c:pt idx="1">
                  <c:v>-0.12679575265459087</c:v>
                </c:pt>
                <c:pt idx="2">
                  <c:v>3.3668730650154854E-2</c:v>
                </c:pt>
                <c:pt idx="3">
                  <c:v>-0.147605856747131</c:v>
                </c:pt>
                <c:pt idx="4">
                  <c:v>1.2019230769231282E-3</c:v>
                </c:pt>
                <c:pt idx="5">
                  <c:v>3.9101917255297769E-2</c:v>
                </c:pt>
                <c:pt idx="6">
                  <c:v>-0.20814282603962553</c:v>
                </c:pt>
                <c:pt idx="7">
                  <c:v>0.42014487754398067</c:v>
                </c:pt>
                <c:pt idx="8">
                  <c:v>-0.13760566149007269</c:v>
                </c:pt>
                <c:pt idx="9">
                  <c:v>0.21772718032120353</c:v>
                </c:pt>
                <c:pt idx="12">
                  <c:v>-6.2746273770772909E-3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1F3-40A7-A519-894690EC6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E1-4B36-8FD9-973D7092C3AA}"/>
              </c:ext>
            </c:extLst>
          </c:dPt>
          <c:val>
            <c:numRef>
              <c:f>'Viajeros entr evol mensu TF cat'!$I$31:$I$43</c:f>
              <c:numCache>
                <c:formatCode>#,##0</c:formatCode>
                <c:ptCount val="13"/>
                <c:pt idx="0">
                  <c:v>5390</c:v>
                </c:pt>
                <c:pt idx="1">
                  <c:v>5270</c:v>
                </c:pt>
                <c:pt idx="2">
                  <c:v>5659</c:v>
                </c:pt>
                <c:pt idx="3">
                  <c:v>5170</c:v>
                </c:pt>
                <c:pt idx="4">
                  <c:v>5013</c:v>
                </c:pt>
                <c:pt idx="5">
                  <c:v>4181</c:v>
                </c:pt>
                <c:pt idx="6">
                  <c:v>4340</c:v>
                </c:pt>
                <c:pt idx="7">
                  <c:v>4645</c:v>
                </c:pt>
                <c:pt idx="8">
                  <c:v>4521</c:v>
                </c:pt>
                <c:pt idx="9">
                  <c:v>4419</c:v>
                </c:pt>
                <c:pt idx="10">
                  <c:v>4964</c:v>
                </c:pt>
                <c:pt idx="11">
                  <c:v>4585</c:v>
                </c:pt>
                <c:pt idx="12">
                  <c:v>58157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E1-4B36-8FD9-973D7092C3AA}"/>
            </c:ext>
          </c:extLst>
        </c:ser>
        <c:ser>
          <c:idx val="0"/>
          <c:order val="2"/>
          <c:tx>
            <c:strRef>
              <c:f>'Viajeros entr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EE1-4B36-8FD9-973D7092C3AA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cat'!$K$31:$K$43</c:f>
              <c:numCache>
                <c:formatCode>#,##0</c:formatCode>
                <c:ptCount val="13"/>
                <c:pt idx="0">
                  <c:v>5217</c:v>
                </c:pt>
                <c:pt idx="1">
                  <c:v>4803</c:v>
                </c:pt>
                <c:pt idx="2">
                  <c:v>5168</c:v>
                </c:pt>
                <c:pt idx="3">
                  <c:v>5054</c:v>
                </c:pt>
                <c:pt idx="4">
                  <c:v>4992</c:v>
                </c:pt>
                <c:pt idx="5">
                  <c:v>3964</c:v>
                </c:pt>
                <c:pt idx="6">
                  <c:v>4593</c:v>
                </c:pt>
                <c:pt idx="7">
                  <c:v>2899</c:v>
                </c:pt>
                <c:pt idx="8">
                  <c:v>5087</c:v>
                </c:pt>
                <c:pt idx="9">
                  <c:v>4919</c:v>
                </c:pt>
                <c:pt idx="10">
                  <c:v>5464</c:v>
                </c:pt>
                <c:pt idx="11">
                  <c:v>5228</c:v>
                </c:pt>
                <c:pt idx="12">
                  <c:v>57388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E1-4B36-8FD9-973D7092C3AA}"/>
            </c:ext>
          </c:extLst>
        </c:ser>
        <c:ser>
          <c:idx val="1"/>
          <c:order val="3"/>
          <c:tx>
            <c:strRef>
              <c:f>'Viajeros entr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EE1-4B36-8FD9-973D7092C3A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EE1-4B36-8FD9-973D7092C3AA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cat'!$M$31:$M$43</c:f>
              <c:numCache>
                <c:formatCode>#,##0</c:formatCode>
                <c:ptCount val="13"/>
                <c:pt idx="0">
                  <c:v>5311</c:v>
                </c:pt>
                <c:pt idx="1">
                  <c:v>4194</c:v>
                </c:pt>
                <c:pt idx="2">
                  <c:v>5342</c:v>
                </c:pt>
                <c:pt idx="3">
                  <c:v>4308</c:v>
                </c:pt>
                <c:pt idx="4">
                  <c:v>4998</c:v>
                </c:pt>
                <c:pt idx="5">
                  <c:v>4119</c:v>
                </c:pt>
                <c:pt idx="6">
                  <c:v>3637</c:v>
                </c:pt>
                <c:pt idx="7">
                  <c:v>4117</c:v>
                </c:pt>
                <c:pt idx="8">
                  <c:v>4387</c:v>
                </c:pt>
                <c:pt idx="9">
                  <c:v>5990</c:v>
                </c:pt>
                <c:pt idx="12">
                  <c:v>46403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EE1-4B36-8FD9-973D7092C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EE1-4B36-8FD9-973D7092C3A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5197</c:v>
                      </c:pt>
                      <c:pt idx="1">
                        <c:v>5359</c:v>
                      </c:pt>
                      <c:pt idx="2">
                        <c:v>2198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2777</c:v>
                      </c:pt>
                      <c:pt idx="8">
                        <c:v>1764</c:v>
                      </c:pt>
                      <c:pt idx="9">
                        <c:v>1764</c:v>
                      </c:pt>
                      <c:pt idx="10">
                        <c:v>1763</c:v>
                      </c:pt>
                      <c:pt idx="11">
                        <c:v>1794</c:v>
                      </c:pt>
                      <c:pt idx="12">
                        <c:v>24221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EE1-4B36-8FD9-973D7092C3A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EE1-4B36-8FD9-973D7092C3A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EE1-4B36-8FD9-973D7092C3A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EE1-4B36-8FD9-973D7092C3A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EE1-4B36-8FD9-973D7092C3A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EE1-4B36-8FD9-973D7092C3A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EE1-4B36-8FD9-973D7092C3A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EE1-4B36-8FD9-973D7092C3A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EE1-4B36-8FD9-973D7092C3A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EE1-4B36-8FD9-973D7092C3A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EE1-4B36-8FD9-973D7092C3A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EE1-4B36-8FD9-973D7092C3A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EE1-4B36-8FD9-973D7092C3A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EE1-4B36-8FD9-973D7092C3AA}"/>
              </c:ext>
            </c:extLst>
          </c:dPt>
          <c:cat>
            <c:strRef>
              <c:f>'Viajeros entr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cat'!$N$31:$N$43</c:f>
              <c:numCache>
                <c:formatCode>0.0%</c:formatCode>
                <c:ptCount val="13"/>
                <c:pt idx="0">
                  <c:v>1.8018018018018056E-2</c:v>
                </c:pt>
                <c:pt idx="1">
                  <c:v>-0.12679575265459087</c:v>
                </c:pt>
                <c:pt idx="2">
                  <c:v>3.3668730650154854E-2</c:v>
                </c:pt>
                <c:pt idx="3">
                  <c:v>-0.147605856747131</c:v>
                </c:pt>
                <c:pt idx="4">
                  <c:v>1.2019230769231282E-3</c:v>
                </c:pt>
                <c:pt idx="5">
                  <c:v>3.9101917255297769E-2</c:v>
                </c:pt>
                <c:pt idx="6">
                  <c:v>-0.20814282603962553</c:v>
                </c:pt>
                <c:pt idx="7">
                  <c:v>0.42014487754398067</c:v>
                </c:pt>
                <c:pt idx="8">
                  <c:v>-0.13760566149007269</c:v>
                </c:pt>
                <c:pt idx="9">
                  <c:v>0.21772718032120353</c:v>
                </c:pt>
                <c:pt idx="12">
                  <c:v>-6.2746273770772909E-3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EE1-4B36-8FD9-973D7092C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637-4D09-A7B8-49DEA99D2255}"/>
              </c:ext>
            </c:extLst>
          </c:dPt>
          <c:val>
            <c:numRef>
              <c:f>'Viajeros entr evol mensu TF cat'!$I$53:$I$65</c:f>
              <c:numCache>
                <c:formatCode>#,##0</c:formatCode>
                <c:ptCount val="13"/>
                <c:pt idx="0">
                  <c:v>4641</c:v>
                </c:pt>
                <c:pt idx="1">
                  <c:v>4493</c:v>
                </c:pt>
                <c:pt idx="2">
                  <c:v>4830</c:v>
                </c:pt>
                <c:pt idx="3">
                  <c:v>4467</c:v>
                </c:pt>
                <c:pt idx="4">
                  <c:v>4524</c:v>
                </c:pt>
                <c:pt idx="5">
                  <c:v>3719</c:v>
                </c:pt>
                <c:pt idx="6">
                  <c:v>0</c:v>
                </c:pt>
                <c:pt idx="7">
                  <c:v>0</c:v>
                </c:pt>
                <c:pt idx="8">
                  <c:v>4039</c:v>
                </c:pt>
                <c:pt idx="9">
                  <c:v>3716</c:v>
                </c:pt>
                <c:pt idx="10">
                  <c:v>4138</c:v>
                </c:pt>
                <c:pt idx="11">
                  <c:v>3751</c:v>
                </c:pt>
                <c:pt idx="12">
                  <c:v>50550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37-4D09-A7B8-49DEA99D2255}"/>
            </c:ext>
          </c:extLst>
        </c:ser>
        <c:ser>
          <c:idx val="0"/>
          <c:order val="2"/>
          <c:tx>
            <c:strRef>
              <c:f>'Viajeros entr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637-4D09-A7B8-49DEA99D2255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cat'!$K$53:$K$65</c:f>
              <c:numCache>
                <c:formatCode>#,##0</c:formatCode>
                <c:ptCount val="13"/>
                <c:pt idx="0">
                  <c:v>4486</c:v>
                </c:pt>
                <c:pt idx="1">
                  <c:v>4023</c:v>
                </c:pt>
                <c:pt idx="2">
                  <c:v>4388</c:v>
                </c:pt>
                <c:pt idx="3">
                  <c:v>4407</c:v>
                </c:pt>
                <c:pt idx="4">
                  <c:v>4496</c:v>
                </c:pt>
                <c:pt idx="5">
                  <c:v>3480</c:v>
                </c:pt>
                <c:pt idx="6">
                  <c:v>3932</c:v>
                </c:pt>
                <c:pt idx="7">
                  <c:v>2669</c:v>
                </c:pt>
                <c:pt idx="8">
                  <c:v>4491</c:v>
                </c:pt>
                <c:pt idx="9">
                  <c:v>4146</c:v>
                </c:pt>
                <c:pt idx="10">
                  <c:v>4532</c:v>
                </c:pt>
                <c:pt idx="11">
                  <c:v>4415</c:v>
                </c:pt>
                <c:pt idx="12">
                  <c:v>49465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637-4D09-A7B8-49DEA99D2255}"/>
            </c:ext>
          </c:extLst>
        </c:ser>
        <c:ser>
          <c:idx val="1"/>
          <c:order val="3"/>
          <c:tx>
            <c:strRef>
              <c:f>'Viajeros entr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637-4D09-A7B8-49DEA99D225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637-4D09-A7B8-49DEA99D2255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cat'!$M$53:$M$65</c:f>
              <c:numCache>
                <c:formatCode>#,##0</c:formatCode>
                <c:ptCount val="13"/>
                <c:pt idx="0">
                  <c:v>4485</c:v>
                </c:pt>
                <c:pt idx="1">
                  <c:v>3377</c:v>
                </c:pt>
                <c:pt idx="2">
                  <c:v>4503</c:v>
                </c:pt>
                <c:pt idx="3">
                  <c:v>3648</c:v>
                </c:pt>
                <c:pt idx="4">
                  <c:v>4275</c:v>
                </c:pt>
                <c:pt idx="5">
                  <c:v>3490</c:v>
                </c:pt>
                <c:pt idx="6">
                  <c:v>3156</c:v>
                </c:pt>
                <c:pt idx="7">
                  <c:v>3769</c:v>
                </c:pt>
                <c:pt idx="8">
                  <c:v>3777</c:v>
                </c:pt>
                <c:pt idx="9">
                  <c:v>5158</c:v>
                </c:pt>
                <c:pt idx="12">
                  <c:v>39638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637-4D09-A7B8-49DEA99D2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637-4D09-A7B8-49DEA99D225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3703</c:v>
                      </c:pt>
                      <c:pt idx="1">
                        <c:v>3601</c:v>
                      </c:pt>
                      <c:pt idx="2">
                        <c:v>1389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637-4D09-A7B8-49DEA99D225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637-4D09-A7B8-49DEA99D225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637-4D09-A7B8-49DEA99D225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637-4D09-A7B8-49DEA99D225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637-4D09-A7B8-49DEA99D225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637-4D09-A7B8-49DEA99D225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637-4D09-A7B8-49DEA99D225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637-4D09-A7B8-49DEA99D225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637-4D09-A7B8-49DEA99D225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637-4D09-A7B8-49DEA99D225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637-4D09-A7B8-49DEA99D225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637-4D09-A7B8-49DEA99D225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637-4D09-A7B8-49DEA99D225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637-4D09-A7B8-49DEA99D2255}"/>
              </c:ext>
            </c:extLst>
          </c:dPt>
          <c:cat>
            <c:strRef>
              <c:f>'Viajeros entr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cat'!$N$53:$N$65</c:f>
              <c:numCache>
                <c:formatCode>0.0%</c:formatCode>
                <c:ptCount val="13"/>
                <c:pt idx="0">
                  <c:v>-2.2291573785104823E-4</c:v>
                </c:pt>
                <c:pt idx="1">
                  <c:v>-0.16057668406661696</c:v>
                </c:pt>
                <c:pt idx="2">
                  <c:v>2.6207839562442992E-2</c:v>
                </c:pt>
                <c:pt idx="3">
                  <c:v>-0.17222600408441113</c:v>
                </c:pt>
                <c:pt idx="4">
                  <c:v>-4.9154804270462593E-2</c:v>
                </c:pt>
                <c:pt idx="5">
                  <c:v>2.8735632183907178E-3</c:v>
                </c:pt>
                <c:pt idx="6">
                  <c:v>-0.19735503560528989</c:v>
                </c:pt>
                <c:pt idx="7">
                  <c:v>0.4121393780442113</c:v>
                </c:pt>
                <c:pt idx="8">
                  <c:v>-0.15898463593854373</c:v>
                </c:pt>
                <c:pt idx="9">
                  <c:v>0.24409068982151472</c:v>
                </c:pt>
                <c:pt idx="12">
                  <c:v>-2.1718742287378467E-2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637-4D09-A7B8-49DEA99D2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205497302908249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72-410D-8851-37C85915431D}"/>
              </c:ext>
            </c:extLst>
          </c:dPt>
          <c:val>
            <c:numRef>
              <c:f>'Viajeros entr evol mensu TF cat'!$I$75:$I$87</c:f>
              <c:numCache>
                <c:formatCode>#,##0</c:formatCode>
                <c:ptCount val="13"/>
                <c:pt idx="0">
                  <c:v>749</c:v>
                </c:pt>
                <c:pt idx="1">
                  <c:v>777</c:v>
                </c:pt>
                <c:pt idx="2">
                  <c:v>829</c:v>
                </c:pt>
                <c:pt idx="3">
                  <c:v>703</c:v>
                </c:pt>
                <c:pt idx="4">
                  <c:v>489</c:v>
                </c:pt>
                <c:pt idx="5">
                  <c:v>462</c:v>
                </c:pt>
                <c:pt idx="6">
                  <c:v>0</c:v>
                </c:pt>
                <c:pt idx="7">
                  <c:v>0</c:v>
                </c:pt>
                <c:pt idx="8">
                  <c:v>482</c:v>
                </c:pt>
                <c:pt idx="9">
                  <c:v>703</c:v>
                </c:pt>
                <c:pt idx="10">
                  <c:v>826</c:v>
                </c:pt>
                <c:pt idx="11">
                  <c:v>834</c:v>
                </c:pt>
                <c:pt idx="12">
                  <c:v>7607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72-410D-8851-37C85915431D}"/>
            </c:ext>
          </c:extLst>
        </c:ser>
        <c:ser>
          <c:idx val="0"/>
          <c:order val="2"/>
          <c:tx>
            <c:strRef>
              <c:f>'Viajeros entr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772-410D-8851-37C85915431D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cat'!$K$75:$K$87</c:f>
              <c:numCache>
                <c:formatCode>#,##0</c:formatCode>
                <c:ptCount val="13"/>
                <c:pt idx="0">
                  <c:v>731</c:v>
                </c:pt>
                <c:pt idx="1">
                  <c:v>780</c:v>
                </c:pt>
                <c:pt idx="2">
                  <c:v>780</c:v>
                </c:pt>
                <c:pt idx="3">
                  <c:v>647</c:v>
                </c:pt>
                <c:pt idx="4">
                  <c:v>496</c:v>
                </c:pt>
                <c:pt idx="5">
                  <c:v>484</c:v>
                </c:pt>
                <c:pt idx="6">
                  <c:v>661</c:v>
                </c:pt>
                <c:pt idx="7">
                  <c:v>230</c:v>
                </c:pt>
                <c:pt idx="8">
                  <c:v>596</c:v>
                </c:pt>
                <c:pt idx="9">
                  <c:v>773</c:v>
                </c:pt>
                <c:pt idx="10">
                  <c:v>932</c:v>
                </c:pt>
                <c:pt idx="11">
                  <c:v>813</c:v>
                </c:pt>
                <c:pt idx="12">
                  <c:v>7923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72-410D-8851-37C85915431D}"/>
            </c:ext>
          </c:extLst>
        </c:ser>
        <c:ser>
          <c:idx val="1"/>
          <c:order val="3"/>
          <c:tx>
            <c:strRef>
              <c:f>'Viajeros entr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772-410D-8851-37C85915431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772-410D-8851-37C85915431D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cat'!$M$75:$M$87</c:f>
              <c:numCache>
                <c:formatCode>#,##0</c:formatCode>
                <c:ptCount val="13"/>
                <c:pt idx="0">
                  <c:v>826</c:v>
                </c:pt>
                <c:pt idx="1">
                  <c:v>817</c:v>
                </c:pt>
                <c:pt idx="2">
                  <c:v>839</c:v>
                </c:pt>
                <c:pt idx="3">
                  <c:v>660</c:v>
                </c:pt>
                <c:pt idx="4">
                  <c:v>723</c:v>
                </c:pt>
                <c:pt idx="5">
                  <c:v>629</c:v>
                </c:pt>
                <c:pt idx="6">
                  <c:v>481</c:v>
                </c:pt>
                <c:pt idx="7">
                  <c:v>348</c:v>
                </c:pt>
                <c:pt idx="8">
                  <c:v>610</c:v>
                </c:pt>
                <c:pt idx="9">
                  <c:v>832</c:v>
                </c:pt>
                <c:pt idx="12">
                  <c:v>6765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772-410D-8851-37C85915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772-410D-8851-37C85915431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1494</c:v>
                      </c:pt>
                      <c:pt idx="1">
                        <c:v>1758</c:v>
                      </c:pt>
                      <c:pt idx="2">
                        <c:v>809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772-410D-8851-37C85915431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772-410D-8851-37C85915431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772-410D-8851-37C85915431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772-410D-8851-37C85915431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772-410D-8851-37C85915431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772-410D-8851-37C85915431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772-410D-8851-37C85915431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772-410D-8851-37C85915431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772-410D-8851-37C85915431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772-410D-8851-37C85915431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772-410D-8851-37C85915431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772-410D-8851-37C85915431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772-410D-8851-37C85915431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772-410D-8851-37C85915431D}"/>
              </c:ext>
            </c:extLst>
          </c:dPt>
          <c:cat>
            <c:strRef>
              <c:f>'Viajeros entr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cat'!$N$75:$N$87</c:f>
              <c:numCache>
                <c:formatCode>0.0%</c:formatCode>
                <c:ptCount val="13"/>
                <c:pt idx="0">
                  <c:v>0.12995896032831733</c:v>
                </c:pt>
                <c:pt idx="1">
                  <c:v>4.7435897435897489E-2</c:v>
                </c:pt>
                <c:pt idx="2">
                  <c:v>7.5641025641025594E-2</c:v>
                </c:pt>
                <c:pt idx="3">
                  <c:v>2.0092735703245657E-2</c:v>
                </c:pt>
                <c:pt idx="4">
                  <c:v>0.45766129032258074</c:v>
                </c:pt>
                <c:pt idx="5">
                  <c:v>0.29958677685950419</c:v>
                </c:pt>
                <c:pt idx="6">
                  <c:v>-0.27231467473524962</c:v>
                </c:pt>
                <c:pt idx="7">
                  <c:v>0.51304347826086949</c:v>
                </c:pt>
                <c:pt idx="8">
                  <c:v>2.3489932885905951E-2</c:v>
                </c:pt>
                <c:pt idx="9">
                  <c:v>7.6326002587322028E-2</c:v>
                </c:pt>
                <c:pt idx="12">
                  <c:v>9.5014567821301466E-2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772-410D-8851-37C85915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46751207729469"/>
          <c:y val="0.11476520521627519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B9-4A7B-B7DD-F99697122108}"/>
              </c:ext>
            </c:extLst>
          </c:dPt>
          <c:val>
            <c:numRef>
              <c:f>'Viajeros entr evol mensu TF cat'!$I$97:$I$109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B9-4A7B-B7DD-F99697122108}"/>
            </c:ext>
          </c:extLst>
        </c:ser>
        <c:ser>
          <c:idx val="0"/>
          <c:order val="2"/>
          <c:tx>
            <c:strRef>
              <c:f>'Viajeros entr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2B9-4A7B-B7DD-F99697122108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cat'!$K$97:$K$109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B9-4A7B-B7DD-F99697122108}"/>
            </c:ext>
          </c:extLst>
        </c:ser>
        <c:ser>
          <c:idx val="1"/>
          <c:order val="3"/>
          <c:tx>
            <c:strRef>
              <c:f>'Viajeros entr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2B9-4A7B-B7DD-F9969712210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2B9-4A7B-B7DD-F99697122108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cat'!$M$97:$M$109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2B9-4A7B-B7DD-F99697122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2B9-4A7B-B7DD-F9969712210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2B9-4A7B-B7DD-F9969712210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2B9-4A7B-B7DD-F9969712210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2B9-4A7B-B7DD-F9969712210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2B9-4A7B-B7DD-F9969712210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2B9-4A7B-B7DD-F9969712210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2B9-4A7B-B7DD-F9969712210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2B9-4A7B-B7DD-F9969712210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2B9-4A7B-B7DD-F9969712210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2B9-4A7B-B7DD-F9969712210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2B9-4A7B-B7DD-F9969712210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2B9-4A7B-B7DD-F9969712210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2B9-4A7B-B7DD-F9969712210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2B9-4A7B-B7DD-F9969712210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2B9-4A7B-B7DD-F99697122108}"/>
              </c:ext>
            </c:extLst>
          </c:dPt>
          <c:cat>
            <c:strRef>
              <c:f>'Viajeros entr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2B9-4A7B-B7DD-F99697122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cat'!$C$8:$C$22</c:f>
              <c:numCache>
                <c:formatCode>#,##0</c:formatCode>
                <c:ptCount val="15"/>
                <c:pt idx="0">
                  <c:v>57388</c:v>
                </c:pt>
                <c:pt idx="1">
                  <c:v>58157</c:v>
                </c:pt>
                <c:pt idx="2">
                  <c:v>51485</c:v>
                </c:pt>
                <c:pt idx="3">
                  <c:v>33444</c:v>
                </c:pt>
                <c:pt idx="4">
                  <c:v>24221</c:v>
                </c:pt>
                <c:pt idx="5">
                  <c:v>55887</c:v>
                </c:pt>
                <c:pt idx="6">
                  <c:v>53986</c:v>
                </c:pt>
                <c:pt idx="7">
                  <c:v>57715</c:v>
                </c:pt>
                <c:pt idx="8">
                  <c:v>53747</c:v>
                </c:pt>
                <c:pt idx="9">
                  <c:v>41224</c:v>
                </c:pt>
                <c:pt idx="10">
                  <c:v>33774</c:v>
                </c:pt>
                <c:pt idx="11">
                  <c:v>30178</c:v>
                </c:pt>
                <c:pt idx="12">
                  <c:v>31795</c:v>
                </c:pt>
                <c:pt idx="13">
                  <c:v>32263</c:v>
                </c:pt>
                <c:pt idx="14">
                  <c:v>40105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B-4104-BD43-3BF7B017E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cat'!$D$8:$D$22</c:f>
              <c:numCache>
                <c:formatCode>0.0%</c:formatCode>
                <c:ptCount val="15"/>
                <c:pt idx="0">
                  <c:v>-1.3222827862510056E-2</c:v>
                </c:pt>
                <c:pt idx="1">
                  <c:v>0.12959114305137409</c:v>
                </c:pt>
                <c:pt idx="2">
                  <c:v>0.53943906231312044</c:v>
                </c:pt>
                <c:pt idx="3">
                  <c:v>0.38078526898146237</c:v>
                </c:pt>
                <c:pt idx="4">
                  <c:v>-0.56660761894537193</c:v>
                </c:pt>
                <c:pt idx="5">
                  <c:v>3.521283295669253E-2</c:v>
                </c:pt>
                <c:pt idx="6">
                  <c:v>-6.4610586502642287E-2</c:v>
                </c:pt>
                <c:pt idx="7">
                  <c:v>7.382737641170678E-2</c:v>
                </c:pt>
                <c:pt idx="8">
                  <c:v>0.30377935183388316</c:v>
                </c:pt>
                <c:pt idx="9">
                  <c:v>0.22058388109196425</c:v>
                </c:pt>
                <c:pt idx="10">
                  <c:v>0.11915965272715212</c:v>
                </c:pt>
                <c:pt idx="11">
                  <c:v>-5.0857052995754048E-2</c:v>
                </c:pt>
                <c:pt idx="12">
                  <c:v>-1.4505780615565844E-2</c:v>
                </c:pt>
                <c:pt idx="13">
                  <c:v>-0.19553671612018453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B-4104-BD43-3BF7B017E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35-4610-8A4F-4458B1E8A080}"/>
              </c:ext>
            </c:extLst>
          </c:dPt>
          <c:val>
            <c:numRef>
              <c:f>'Viajeros entr evol mensu TF'!$I$31:$I$43</c:f>
              <c:numCache>
                <c:formatCode>#,##0</c:formatCode>
                <c:ptCount val="13"/>
                <c:pt idx="0">
                  <c:v>3042</c:v>
                </c:pt>
                <c:pt idx="1">
                  <c:v>3101</c:v>
                </c:pt>
                <c:pt idx="2">
                  <c:v>3421</c:v>
                </c:pt>
                <c:pt idx="3">
                  <c:v>3521</c:v>
                </c:pt>
                <c:pt idx="4">
                  <c:v>3551</c:v>
                </c:pt>
                <c:pt idx="5">
                  <c:v>3284</c:v>
                </c:pt>
                <c:pt idx="6">
                  <c:v>3186</c:v>
                </c:pt>
                <c:pt idx="7">
                  <c:v>3372</c:v>
                </c:pt>
                <c:pt idx="8">
                  <c:v>3382</c:v>
                </c:pt>
                <c:pt idx="9">
                  <c:v>2825</c:v>
                </c:pt>
                <c:pt idx="10">
                  <c:v>2455</c:v>
                </c:pt>
                <c:pt idx="11">
                  <c:v>2582</c:v>
                </c:pt>
                <c:pt idx="12">
                  <c:v>37722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5-4610-8A4F-4458B1E8A080}"/>
            </c:ext>
          </c:extLst>
        </c:ser>
        <c:ser>
          <c:idx val="0"/>
          <c:order val="2"/>
          <c:tx>
            <c:strRef>
              <c:f>'Viajeros entr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235-4610-8A4F-4458B1E8A08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TF'!$K$31:$K$43</c:f>
              <c:numCache>
                <c:formatCode>#,##0</c:formatCode>
                <c:ptCount val="13"/>
                <c:pt idx="0">
                  <c:v>2177</c:v>
                </c:pt>
                <c:pt idx="1">
                  <c:v>2167</c:v>
                </c:pt>
                <c:pt idx="2">
                  <c:v>2632</c:v>
                </c:pt>
                <c:pt idx="3">
                  <c:v>3276</c:v>
                </c:pt>
                <c:pt idx="4">
                  <c:v>3636</c:v>
                </c:pt>
                <c:pt idx="5">
                  <c:v>3008</c:v>
                </c:pt>
                <c:pt idx="6">
                  <c:v>3447</c:v>
                </c:pt>
                <c:pt idx="7">
                  <c:v>1718</c:v>
                </c:pt>
                <c:pt idx="8">
                  <c:v>4092</c:v>
                </c:pt>
                <c:pt idx="9">
                  <c:v>3162</c:v>
                </c:pt>
                <c:pt idx="10">
                  <c:v>3284</c:v>
                </c:pt>
                <c:pt idx="11">
                  <c:v>3222</c:v>
                </c:pt>
                <c:pt idx="12">
                  <c:v>35821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235-4610-8A4F-4458B1E8A080}"/>
            </c:ext>
          </c:extLst>
        </c:ser>
        <c:ser>
          <c:idx val="1"/>
          <c:order val="3"/>
          <c:tx>
            <c:strRef>
              <c:f>'Viajeros entr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235-4610-8A4F-4458B1E8A08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235-4610-8A4F-4458B1E8A08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TF'!$M$31:$M$43</c:f>
              <c:numCache>
                <c:formatCode>#,##0</c:formatCode>
                <c:ptCount val="13"/>
                <c:pt idx="0">
                  <c:v>2652</c:v>
                </c:pt>
                <c:pt idx="1">
                  <c:v>1760</c:v>
                </c:pt>
                <c:pt idx="2">
                  <c:v>2763</c:v>
                </c:pt>
                <c:pt idx="3">
                  <c:v>2835</c:v>
                </c:pt>
                <c:pt idx="4">
                  <c:v>3517</c:v>
                </c:pt>
                <c:pt idx="5">
                  <c:v>3117</c:v>
                </c:pt>
                <c:pt idx="6">
                  <c:v>2446</c:v>
                </c:pt>
                <c:pt idx="7">
                  <c:v>2948</c:v>
                </c:pt>
                <c:pt idx="8">
                  <c:v>3227</c:v>
                </c:pt>
                <c:pt idx="9">
                  <c:v>4225</c:v>
                </c:pt>
                <c:pt idx="12">
                  <c:v>29490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235-4610-8A4F-4458B1E8A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235-4610-8A4F-4458B1E8A08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3059</c:v>
                      </c:pt>
                      <c:pt idx="1">
                        <c:v>3061</c:v>
                      </c:pt>
                      <c:pt idx="2">
                        <c:v>1334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2135</c:v>
                      </c:pt>
                      <c:pt idx="8">
                        <c:v>1442</c:v>
                      </c:pt>
                      <c:pt idx="9">
                        <c:v>1351</c:v>
                      </c:pt>
                      <c:pt idx="10">
                        <c:v>1256</c:v>
                      </c:pt>
                      <c:pt idx="11">
                        <c:v>1139</c:v>
                      </c:pt>
                      <c:pt idx="12">
                        <c:v>16023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235-4610-8A4F-4458B1E8A08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235-4610-8A4F-4458B1E8A08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235-4610-8A4F-4458B1E8A08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235-4610-8A4F-4458B1E8A08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235-4610-8A4F-4458B1E8A08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235-4610-8A4F-4458B1E8A08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235-4610-8A4F-4458B1E8A08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235-4610-8A4F-4458B1E8A08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235-4610-8A4F-4458B1E8A08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235-4610-8A4F-4458B1E8A08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235-4610-8A4F-4458B1E8A08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235-4610-8A4F-4458B1E8A08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235-4610-8A4F-4458B1E8A08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235-4610-8A4F-4458B1E8A080}"/>
              </c:ext>
            </c:extLst>
          </c:dPt>
          <c:cat>
            <c:strRef>
              <c:f>'Viajeros entr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TF'!$N$31:$N$43</c:f>
              <c:numCache>
                <c:formatCode>0.0%</c:formatCode>
                <c:ptCount val="13"/>
                <c:pt idx="0">
                  <c:v>0.21819016995865881</c:v>
                </c:pt>
                <c:pt idx="1">
                  <c:v>-0.18781725888324874</c:v>
                </c:pt>
                <c:pt idx="2">
                  <c:v>4.9772036474164061E-2</c:v>
                </c:pt>
                <c:pt idx="3">
                  <c:v>-0.13461538461538458</c:v>
                </c:pt>
                <c:pt idx="4">
                  <c:v>-3.2728272827282745E-2</c:v>
                </c:pt>
                <c:pt idx="5">
                  <c:v>3.6236702127659504E-2</c:v>
                </c:pt>
                <c:pt idx="6">
                  <c:v>-0.29039744705541048</c:v>
                </c:pt>
                <c:pt idx="7">
                  <c:v>0.71594877764842835</c:v>
                </c:pt>
                <c:pt idx="8">
                  <c:v>-0.21138807429130013</c:v>
                </c:pt>
                <c:pt idx="9">
                  <c:v>0.33617963314358001</c:v>
                </c:pt>
                <c:pt idx="12">
                  <c:v>5.969640115981667E-3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235-4610-8A4F-4458B1E8A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cat'!$C$31:$C$45</c:f>
              <c:numCache>
                <c:formatCode>#,##0</c:formatCode>
                <c:ptCount val="15"/>
                <c:pt idx="0">
                  <c:v>57388</c:v>
                </c:pt>
                <c:pt idx="1">
                  <c:v>58157</c:v>
                </c:pt>
                <c:pt idx="2">
                  <c:v>51485</c:v>
                </c:pt>
                <c:pt idx="3">
                  <c:v>33444</c:v>
                </c:pt>
                <c:pt idx="4">
                  <c:v>24221</c:v>
                </c:pt>
                <c:pt idx="5">
                  <c:v>55887</c:v>
                </c:pt>
                <c:pt idx="6">
                  <c:v>53986</c:v>
                </c:pt>
                <c:pt idx="7">
                  <c:v>57664</c:v>
                </c:pt>
                <c:pt idx="8">
                  <c:v>53591</c:v>
                </c:pt>
                <c:pt idx="9">
                  <c:v>40936</c:v>
                </c:pt>
                <c:pt idx="10">
                  <c:v>33476</c:v>
                </c:pt>
                <c:pt idx="11">
                  <c:v>29983</c:v>
                </c:pt>
                <c:pt idx="12">
                  <c:v>31642</c:v>
                </c:pt>
                <c:pt idx="13">
                  <c:v>30281</c:v>
                </c:pt>
                <c:pt idx="14">
                  <c:v>36948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7-4F40-8A0F-935F9B63B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cat'!$D$31:$D$45</c:f>
              <c:numCache>
                <c:formatCode>0.0%</c:formatCode>
                <c:ptCount val="15"/>
                <c:pt idx="0">
                  <c:v>-1.3222827862510056E-2</c:v>
                </c:pt>
                <c:pt idx="1">
                  <c:v>0.12959114305137409</c:v>
                </c:pt>
                <c:pt idx="2">
                  <c:v>0.53943906231312044</c:v>
                </c:pt>
                <c:pt idx="3">
                  <c:v>0.38078526898146237</c:v>
                </c:pt>
                <c:pt idx="4">
                  <c:v>-0.56660761894537193</c:v>
                </c:pt>
                <c:pt idx="5">
                  <c:v>3.521283295669253E-2</c:v>
                </c:pt>
                <c:pt idx="6">
                  <c:v>-6.3783296337402873E-2</c:v>
                </c:pt>
                <c:pt idx="7">
                  <c:v>7.6001567427366634E-2</c:v>
                </c:pt>
                <c:pt idx="8">
                  <c:v>0.30914109829978509</c:v>
                </c:pt>
                <c:pt idx="9">
                  <c:v>0.22284621818616324</c:v>
                </c:pt>
                <c:pt idx="10">
                  <c:v>0.11649934963145792</c:v>
                </c:pt>
                <c:pt idx="11">
                  <c:v>-5.2430314139434886E-2</c:v>
                </c:pt>
                <c:pt idx="12">
                  <c:v>4.4945675506092853E-2</c:v>
                </c:pt>
                <c:pt idx="13">
                  <c:v>-0.180442784453827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7-4F40-8A0F-935F9B63B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cat'!$C$54:$C$68</c:f>
              <c:numCache>
                <c:formatCode>#,##0</c:formatCode>
                <c:ptCount val="15"/>
                <c:pt idx="0">
                  <c:v>49465</c:v>
                </c:pt>
                <c:pt idx="1">
                  <c:v>50550</c:v>
                </c:pt>
                <c:pt idx="2">
                  <c:v>46354</c:v>
                </c:pt>
                <c:pt idx="3">
                  <c:v>0</c:v>
                </c:pt>
                <c:pt idx="4">
                  <c:v>0</c:v>
                </c:pt>
                <c:pt idx="5">
                  <c:v>42488</c:v>
                </c:pt>
                <c:pt idx="6">
                  <c:v>39356</c:v>
                </c:pt>
                <c:pt idx="7">
                  <c:v>25778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E-4344-B699-AF73AF8DF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cat'!$D$54:$D$68</c:f>
              <c:numCache>
                <c:formatCode>0.0%</c:formatCode>
                <c:ptCount val="15"/>
                <c:pt idx="0">
                  <c:v>-2.1463897131552945E-2</c:v>
                </c:pt>
                <c:pt idx="1">
                  <c:v>9.0520774906156953E-2</c:v>
                </c:pt>
                <c:pt idx="2">
                  <c:v>0</c:v>
                </c:pt>
                <c:pt idx="3">
                  <c:v>0</c:v>
                </c:pt>
                <c:pt idx="4">
                  <c:v>-1</c:v>
                </c:pt>
                <c:pt idx="5">
                  <c:v>7.9581258257953147E-2</c:v>
                </c:pt>
                <c:pt idx="6">
                  <c:v>0.52672821786019086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E-4344-B699-AF73AF8DF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 años 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16-4725-9A13-D09FA8A628E4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516-4725-9A13-D09FA8A628E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516-4725-9A13-D09FA8A628E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516-4725-9A13-D09FA8A628E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516-4725-9A13-D09FA8A628E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516-4725-9A13-D09FA8A628E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516-4725-9A13-D09FA8A628E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516-4725-9A13-D09FA8A628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'!$T$8:$T$9,'viaj entrados lugar resid años '!$T$12:$T$20)</c:f>
              <c:numCache>
                <c:formatCode>#,##0</c:formatCode>
                <c:ptCount val="11"/>
                <c:pt idx="0">
                  <c:v>57388</c:v>
                </c:pt>
                <c:pt idx="1">
                  <c:v>35821</c:v>
                </c:pt>
                <c:pt idx="2">
                  <c:v>21567</c:v>
                </c:pt>
                <c:pt idx="3">
                  <c:v>3030</c:v>
                </c:pt>
                <c:pt idx="4">
                  <c:v>4234</c:v>
                </c:pt>
                <c:pt idx="5">
                  <c:v>3685</c:v>
                </c:pt>
                <c:pt idx="6">
                  <c:v>933</c:v>
                </c:pt>
                <c:pt idx="7">
                  <c:v>903</c:v>
                </c:pt>
                <c:pt idx="8">
                  <c:v>230</c:v>
                </c:pt>
                <c:pt idx="9">
                  <c:v>384</c:v>
                </c:pt>
                <c:pt idx="10">
                  <c:v>8168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16-4725-9A13-D09FA8A628E4}"/>
            </c:ext>
          </c:extLst>
        </c:ser>
        <c:ser>
          <c:idx val="1"/>
          <c:order val="1"/>
          <c:tx>
            <c:strRef>
              <c:f>'viaj entrados lugar resid años 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'!$U$8:$U$9,'viaj entrados lugar resid años '!$U$12:$U$20)</c:f>
              <c:numCache>
                <c:formatCode>0.0%</c:formatCode>
                <c:ptCount val="11"/>
                <c:pt idx="0">
                  <c:v>-1.3222827862510056E-2</c:v>
                </c:pt>
                <c:pt idx="1">
                  <c:v>-5.0394994963151474E-2</c:v>
                </c:pt>
                <c:pt idx="2">
                  <c:v>5.539515537068751E-2</c:v>
                </c:pt>
                <c:pt idx="3">
                  <c:v>8.4078711985688726E-2</c:v>
                </c:pt>
                <c:pt idx="4">
                  <c:v>0.11012060828526482</c:v>
                </c:pt>
                <c:pt idx="5">
                  <c:v>-5.1480051480051525E-2</c:v>
                </c:pt>
                <c:pt idx="6">
                  <c:v>-5.3304904051172386E-3</c:v>
                </c:pt>
                <c:pt idx="7">
                  <c:v>0.38923076923076927</c:v>
                </c:pt>
                <c:pt idx="8">
                  <c:v>0.50326797385620914</c:v>
                </c:pt>
                <c:pt idx="9">
                  <c:v>0.42222222222222228</c:v>
                </c:pt>
                <c:pt idx="10">
                  <c:v>3.0012610340479196E-2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516-4725-9A13-D09FA8A628E4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516-4725-9A13-D09FA8A628E4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516-4725-9A13-D09FA8A628E4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516-4725-9A13-D09FA8A628E4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516-4725-9A13-D09FA8A628E4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516-4725-9A13-D09FA8A628E4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516-4725-9A13-D09FA8A628E4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516-4725-9A13-D09FA8A628E4}"/>
              </c:ext>
            </c:extLst>
          </c:dPt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'!$W$8:$W$9,'viaj entrados lugar resid años '!$W$12:$W$20)</c:f>
              <c:numCache>
                <c:formatCode>0.0%</c:formatCode>
                <c:ptCount val="11"/>
                <c:pt idx="0">
                  <c:v>1</c:v>
                </c:pt>
                <c:pt idx="1">
                  <c:v>0.62418972607513767</c:v>
                </c:pt>
                <c:pt idx="2">
                  <c:v>0.37581027392486233</c:v>
                </c:pt>
                <c:pt idx="3">
                  <c:v>5.2798494458771869E-2</c:v>
                </c:pt>
                <c:pt idx="4">
                  <c:v>7.3778490276712905E-2</c:v>
                </c:pt>
                <c:pt idx="5">
                  <c:v>6.4212030389628499E-2</c:v>
                </c:pt>
                <c:pt idx="6">
                  <c:v>1.6257754234334704E-2</c:v>
                </c:pt>
                <c:pt idx="7">
                  <c:v>1.5734996863455773E-2</c:v>
                </c:pt>
                <c:pt idx="8">
                  <c:v>4.0078065100717921E-3</c:v>
                </c:pt>
                <c:pt idx="9">
                  <c:v>6.6912943472502966E-3</c:v>
                </c:pt>
                <c:pt idx="10">
                  <c:v>0.14232940684463652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516-4725-9A13-D09FA8A62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8932313911888835"/>
          <c:w val="0.95795330741250462"/>
          <c:h val="0.429207627242083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residencia'!$R$9</c:f>
              <c:strCache>
                <c:ptCount val="1"/>
                <c:pt idx="0">
                  <c:v>octubre 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06-4454-A780-733308F14050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106-4454-A780-733308F1405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106-4454-A780-733308F1405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106-4454-A780-733308F1405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106-4454-A780-733308F1405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106-4454-A780-733308F1405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106-4454-A780-733308F1405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106-4454-A780-733308F140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residencia'!$R$11:$R$23</c:f>
              <c:numCache>
                <c:formatCode>#,##0</c:formatCode>
                <c:ptCount val="13"/>
                <c:pt idx="0">
                  <c:v>4919</c:v>
                </c:pt>
                <c:pt idx="1">
                  <c:v>3162</c:v>
                </c:pt>
                <c:pt idx="2">
                  <c:v>965</c:v>
                </c:pt>
                <c:pt idx="3">
                  <c:v>2197</c:v>
                </c:pt>
                <c:pt idx="4">
                  <c:v>1757</c:v>
                </c:pt>
                <c:pt idx="5">
                  <c:v>204</c:v>
                </c:pt>
                <c:pt idx="6">
                  <c:v>305</c:v>
                </c:pt>
                <c:pt idx="7">
                  <c:v>286</c:v>
                </c:pt>
                <c:pt idx="8">
                  <c:v>79</c:v>
                </c:pt>
                <c:pt idx="9">
                  <c:v>57</c:v>
                </c:pt>
                <c:pt idx="10">
                  <c:v>10</c:v>
                </c:pt>
                <c:pt idx="11">
                  <c:v>26</c:v>
                </c:pt>
                <c:pt idx="12">
                  <c:v>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106-4454-A780-733308F14050}"/>
            </c:ext>
          </c:extLst>
        </c:ser>
        <c:ser>
          <c:idx val="1"/>
          <c:order val="1"/>
          <c:tx>
            <c:strRef>
              <c:f>'viaj entrados lugar residencia'!$S$9</c:f>
              <c:strCache>
                <c:ptCount val="1"/>
                <c:pt idx="0">
                  <c:v>octubre 2025</c:v>
                </c:pt>
              </c:strCache>
            </c:strRef>
          </c:tx>
          <c:invertIfNegative val="0"/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residencia'!$S$11:$S$23</c:f>
              <c:numCache>
                <c:formatCode>0.0%</c:formatCode>
                <c:ptCount val="13"/>
                <c:pt idx="0">
                  <c:v>0.11314777098891149</c:v>
                </c:pt>
                <c:pt idx="1">
                  <c:v>0.11929203539823008</c:v>
                </c:pt>
                <c:pt idx="2">
                  <c:v>0.45990922844175497</c:v>
                </c:pt>
                <c:pt idx="3">
                  <c:v>1.5249537892791043E-2</c:v>
                </c:pt>
                <c:pt idx="4">
                  <c:v>0.10225846925972393</c:v>
                </c:pt>
                <c:pt idx="5">
                  <c:v>0.1333333333333333</c:v>
                </c:pt>
                <c:pt idx="6">
                  <c:v>3.2894736842106198E-3</c:v>
                </c:pt>
                <c:pt idx="7">
                  <c:v>-1.379310344827589E-2</c:v>
                </c:pt>
                <c:pt idx="8">
                  <c:v>0.21538461538461529</c:v>
                </c:pt>
                <c:pt idx="9">
                  <c:v>0.42500000000000004</c:v>
                </c:pt>
                <c:pt idx="10">
                  <c:v>0.66666666666666674</c:v>
                </c:pt>
                <c:pt idx="11">
                  <c:v>0.625</c:v>
                </c:pt>
                <c:pt idx="12">
                  <c:v>0.13997113997114008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106-4454-A780-733308F14050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106-4454-A780-733308F14050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106-4454-A780-733308F14050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106-4454-A780-733308F14050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106-4454-A780-733308F14050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106-4454-A780-733308F14050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106-4454-A780-733308F14050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106-4454-A780-733308F14050}"/>
              </c:ext>
            </c:extLst>
          </c:dPt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residencia'!$T$11:$T$23</c:f>
              <c:numCache>
                <c:formatCode>0.0%</c:formatCode>
                <c:ptCount val="13"/>
                <c:pt idx="0">
                  <c:v>1</c:v>
                </c:pt>
                <c:pt idx="1">
                  <c:v>0.64281357999593414</c:v>
                </c:pt>
                <c:pt idx="2">
                  <c:v>0.19617808497662126</c:v>
                </c:pt>
                <c:pt idx="3">
                  <c:v>0.44663549501931288</c:v>
                </c:pt>
                <c:pt idx="4">
                  <c:v>0.35718642000406586</c:v>
                </c:pt>
                <c:pt idx="5">
                  <c:v>4.1471843870705426E-2</c:v>
                </c:pt>
                <c:pt idx="6">
                  <c:v>6.2004472453750764E-2</c:v>
                </c:pt>
                <c:pt idx="7">
                  <c:v>5.8141898759910549E-2</c:v>
                </c:pt>
                <c:pt idx="8">
                  <c:v>1.6060174832282986E-2</c:v>
                </c:pt>
                <c:pt idx="9">
                  <c:v>1.1587721081520634E-2</c:v>
                </c:pt>
                <c:pt idx="10">
                  <c:v>2.0329335230737954E-3</c:v>
                </c:pt>
                <c:pt idx="11">
                  <c:v>5.2856271599918681E-3</c:v>
                </c:pt>
                <c:pt idx="12">
                  <c:v>0.16060174832282983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106-4454-A780-733308F14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1825749224955904"/>
          <c:w val="0.95795330741250462"/>
          <c:h val="0.380130115314533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acu'!$V$7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055-4F19-A04B-E4185C7BBD7E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055-4F19-A04B-E4185C7BBD7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055-4F19-A04B-E4185C7BBD7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055-4F19-A04B-E4185C7BBD7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055-4F19-A04B-E4185C7BBD7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055-4F19-A04B-E4185C7BBD7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055-4F19-A04B-E4185C7BBD7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055-4F19-A04B-E4185C7BBD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acu'!$V$9:$V$10,'viaj entrados lugar residen acu'!$V$13:$V$21)</c:f>
              <c:numCache>
                <c:formatCode>#,##0</c:formatCode>
                <c:ptCount val="11"/>
                <c:pt idx="0">
                  <c:v>46403</c:v>
                </c:pt>
                <c:pt idx="1">
                  <c:v>29490</c:v>
                </c:pt>
                <c:pt idx="2">
                  <c:v>16913</c:v>
                </c:pt>
                <c:pt idx="3">
                  <c:v>2046</c:v>
                </c:pt>
                <c:pt idx="4">
                  <c:v>3003</c:v>
                </c:pt>
                <c:pt idx="5">
                  <c:v>3024</c:v>
                </c:pt>
                <c:pt idx="6">
                  <c:v>720</c:v>
                </c:pt>
                <c:pt idx="7">
                  <c:v>670</c:v>
                </c:pt>
                <c:pt idx="8">
                  <c:v>161</c:v>
                </c:pt>
                <c:pt idx="9">
                  <c:v>177</c:v>
                </c:pt>
                <c:pt idx="10">
                  <c:v>7112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055-4F19-A04B-E4185C7BBD7E}"/>
            </c:ext>
          </c:extLst>
        </c:ser>
        <c:ser>
          <c:idx val="1"/>
          <c:order val="1"/>
          <c:tx>
            <c:strRef>
              <c:f>'viaj entrados lugar residen acu'!$W$7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acu'!$W$9:$W$10,'viaj entrados lugar residen acu'!$W$13:$W$21)</c:f>
              <c:numCache>
                <c:formatCode>0.0%</c:formatCode>
                <c:ptCount val="11"/>
                <c:pt idx="0">
                  <c:v>-6.2746273770772909E-3</c:v>
                </c:pt>
                <c:pt idx="1">
                  <c:v>5.969640115981667E-3</c:v>
                </c:pt>
                <c:pt idx="2">
                  <c:v>-2.6925953627524257E-2</c:v>
                </c:pt>
                <c:pt idx="3">
                  <c:v>-0.16489795918367345</c:v>
                </c:pt>
                <c:pt idx="4">
                  <c:v>-9.4117647058823528E-2</c:v>
                </c:pt>
                <c:pt idx="5">
                  <c:v>-4.6082949308755561E-3</c:v>
                </c:pt>
                <c:pt idx="6">
                  <c:v>-7.6923076923076872E-2</c:v>
                </c:pt>
                <c:pt idx="7">
                  <c:v>-3.7356321839080442E-2</c:v>
                </c:pt>
                <c:pt idx="8">
                  <c:v>-0.1436170212765957</c:v>
                </c:pt>
                <c:pt idx="9">
                  <c:v>-0.42532467532467533</c:v>
                </c:pt>
                <c:pt idx="10">
                  <c:v>7.6597033000302739E-2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055-4F19-A04B-E4185C7BBD7E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055-4F19-A04B-E4185C7BBD7E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055-4F19-A04B-E4185C7BBD7E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055-4F19-A04B-E4185C7BBD7E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055-4F19-A04B-E4185C7BBD7E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055-4F19-A04B-E4185C7BBD7E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055-4F19-A04B-E4185C7BBD7E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055-4F19-A04B-E4185C7BBD7E}"/>
              </c:ext>
            </c:extLst>
          </c:dPt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acu'!$Y$9:$Y$10,'viaj entrados lugar residen acu'!$Y$13:$Y$21)</c:f>
              <c:numCache>
                <c:formatCode>0.0%</c:formatCode>
                <c:ptCount val="11"/>
                <c:pt idx="0">
                  <c:v>1</c:v>
                </c:pt>
                <c:pt idx="1">
                  <c:v>0.63551925522056762</c:v>
                </c:pt>
                <c:pt idx="2">
                  <c:v>0.36448074477943238</c:v>
                </c:pt>
                <c:pt idx="3">
                  <c:v>4.4091976811844062E-2</c:v>
                </c:pt>
                <c:pt idx="4">
                  <c:v>6.4715643385125962E-2</c:v>
                </c:pt>
                <c:pt idx="5">
                  <c:v>6.5168200331875092E-2</c:v>
                </c:pt>
                <c:pt idx="6">
                  <c:v>1.5516238174255974E-2</c:v>
                </c:pt>
                <c:pt idx="7">
                  <c:v>1.4438721634377087E-2</c:v>
                </c:pt>
                <c:pt idx="8">
                  <c:v>3.4696032584100164E-3</c:v>
                </c:pt>
                <c:pt idx="9">
                  <c:v>3.8144085511712606E-3</c:v>
                </c:pt>
                <c:pt idx="10">
                  <c:v>0.15326595263237291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055-4F19-A04B-E4185C7BB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0632289384879521"/>
          <c:w val="0.95795330741250462"/>
          <c:h val="0.384903954674838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hot'!$T$7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E1-4938-9AA2-76CA8C3332F8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E1-4938-9AA2-76CA8C3332F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8E1-4938-9AA2-76CA8C3332F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8E1-4938-9AA2-76CA8C3332F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8E1-4938-9AA2-76CA8C3332F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8E1-4938-9AA2-76CA8C3332F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8E1-4938-9AA2-76CA8C3332F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8E1-4938-9AA2-76CA8C3332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hot'!$T$9:$T$10,'viaj entrados lugar residen hot'!$T$13:$T$21)</c:f>
              <c:numCache>
                <c:formatCode>#,##0</c:formatCode>
                <c:ptCount val="11"/>
                <c:pt idx="0">
                  <c:v>46403</c:v>
                </c:pt>
                <c:pt idx="1">
                  <c:v>29490</c:v>
                </c:pt>
                <c:pt idx="2">
                  <c:v>16913</c:v>
                </c:pt>
                <c:pt idx="3">
                  <c:v>2046</c:v>
                </c:pt>
                <c:pt idx="4">
                  <c:v>3003</c:v>
                </c:pt>
                <c:pt idx="5">
                  <c:v>3024</c:v>
                </c:pt>
                <c:pt idx="6">
                  <c:v>720</c:v>
                </c:pt>
                <c:pt idx="7">
                  <c:v>670</c:v>
                </c:pt>
                <c:pt idx="8">
                  <c:v>161</c:v>
                </c:pt>
                <c:pt idx="9">
                  <c:v>177</c:v>
                </c:pt>
                <c:pt idx="10">
                  <c:v>7112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8E1-4938-9AA2-76CA8C3332F8}"/>
            </c:ext>
          </c:extLst>
        </c:ser>
        <c:ser>
          <c:idx val="1"/>
          <c:order val="1"/>
          <c:tx>
            <c:strRef>
              <c:f>'viaj entrados lugar residen hot'!$U$7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hot'!$U$9:$U$10,'viaj entrados lugar residen hot'!$U$13:$U$21)</c:f>
              <c:numCache>
                <c:formatCode>0.0%</c:formatCode>
                <c:ptCount val="11"/>
                <c:pt idx="0">
                  <c:v>-6.2746273770772909E-3</c:v>
                </c:pt>
                <c:pt idx="1">
                  <c:v>5.969640115981667E-3</c:v>
                </c:pt>
                <c:pt idx="2">
                  <c:v>-2.6925953627524257E-2</c:v>
                </c:pt>
                <c:pt idx="3">
                  <c:v>-0.16489795918367345</c:v>
                </c:pt>
                <c:pt idx="4">
                  <c:v>-9.4117647058823528E-2</c:v>
                </c:pt>
                <c:pt idx="5">
                  <c:v>-4.6082949308755561E-3</c:v>
                </c:pt>
                <c:pt idx="6">
                  <c:v>-7.6923076923076872E-2</c:v>
                </c:pt>
                <c:pt idx="7">
                  <c:v>-3.7356321839080442E-2</c:v>
                </c:pt>
                <c:pt idx="8">
                  <c:v>-0.1436170212765957</c:v>
                </c:pt>
                <c:pt idx="9">
                  <c:v>-0.42532467532467533</c:v>
                </c:pt>
                <c:pt idx="10">
                  <c:v>7.6597033000302739E-2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8E1-4938-9AA2-76CA8C3332F8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E1-4938-9AA2-76CA8C3332F8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8E1-4938-9AA2-76CA8C3332F8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8E1-4938-9AA2-76CA8C3332F8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8E1-4938-9AA2-76CA8C3332F8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8E1-4938-9AA2-76CA8C3332F8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8E1-4938-9AA2-76CA8C3332F8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8E1-4938-9AA2-76CA8C3332F8}"/>
              </c:ext>
            </c:extLst>
          </c:dPt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hot'!$W$9:$W$10,'viaj entrados lugar residen hot'!$W$13:$W$21)</c:f>
              <c:numCache>
                <c:formatCode>0.0%</c:formatCode>
                <c:ptCount val="11"/>
                <c:pt idx="0">
                  <c:v>1</c:v>
                </c:pt>
                <c:pt idx="1">
                  <c:v>0.63551925522056762</c:v>
                </c:pt>
                <c:pt idx="2">
                  <c:v>0.36448074477943238</c:v>
                </c:pt>
                <c:pt idx="3">
                  <c:v>4.4091976811844062E-2</c:v>
                </c:pt>
                <c:pt idx="4">
                  <c:v>6.4715643385125962E-2</c:v>
                </c:pt>
                <c:pt idx="5">
                  <c:v>6.5168200331875092E-2</c:v>
                </c:pt>
                <c:pt idx="6">
                  <c:v>1.5516238174255974E-2</c:v>
                </c:pt>
                <c:pt idx="7">
                  <c:v>1.4438721634377087E-2</c:v>
                </c:pt>
                <c:pt idx="8">
                  <c:v>3.4696032584100164E-3</c:v>
                </c:pt>
                <c:pt idx="9">
                  <c:v>3.8144085511712606E-3</c:v>
                </c:pt>
                <c:pt idx="10">
                  <c:v>0.15326595263237291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8E1-4938-9AA2-76CA8C333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3973976937093389"/>
          <c:w val="0.95795330741250462"/>
          <c:h val="0.3419394004320888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apt'!$T$7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8E1-4D43-8962-19E60EF078EA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8E1-4D43-8962-19E60EF078E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8E1-4D43-8962-19E60EF078E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8E1-4D43-8962-19E60EF078E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8E1-4D43-8962-19E60EF078E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8E1-4D43-8962-19E60EF078E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8E1-4D43-8962-19E60EF078E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8E1-4D43-8962-19E60EF07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apt'!$T$9:$T$10,'viaj entrados lugar residen apt'!$T$13:$T$21)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8E1-4D43-8962-19E60EF078EA}"/>
            </c:ext>
          </c:extLst>
        </c:ser>
        <c:ser>
          <c:idx val="1"/>
          <c:order val="1"/>
          <c:tx>
            <c:strRef>
              <c:f>'viaj entrados lugar residen apt'!$U$7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apt'!$U$9:$U$10,'viaj entrados lugar residen apt'!$U$13:$U$21)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8E1-4D43-8962-19E60EF078EA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8E1-4D43-8962-19E60EF078EA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8E1-4D43-8962-19E60EF078EA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8E1-4D43-8962-19E60EF078EA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8E1-4D43-8962-19E60EF078EA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8E1-4D43-8962-19E60EF078EA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8E1-4D43-8962-19E60EF078EA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8E1-4D43-8962-19E60EF078EA}"/>
              </c:ext>
            </c:extLst>
          </c:dPt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apt'!$W$9:$W$10,'viaj entrados lugar residen apt'!$W$13:$W$21)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8E1-4D43-8962-19E60EF07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6568511642811568"/>
          <c:w val="0.95795330741250462"/>
          <c:h val="0.51380024865312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residen mes'!$P$8</c:f>
              <c:strCache>
                <c:ptCount val="1"/>
                <c:pt idx="0">
                  <c:v>octubre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F7C-4602-9B1D-D25000BCC9FC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F7C-4602-9B1D-D25000BCC9F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F7C-4602-9B1D-D25000BCC9F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F7C-4602-9B1D-D25000BCC9F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F7C-4602-9B1D-D25000BCC9F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F7C-4602-9B1D-D25000BCC9F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F7C-4602-9B1D-D25000BCC9F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F7C-4602-9B1D-D25000BCC9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mes'!$P$10,'viaj aloj lugar residen mes'!$P$11,'viaj aloj lugar residen mes'!$P$14:$P$22)</c:f>
              <c:numCache>
                <c:formatCode>#,##0</c:formatCode>
                <c:ptCount val="11"/>
                <c:pt idx="0">
                  <c:v>6283</c:v>
                </c:pt>
                <c:pt idx="1">
                  <c:v>4348</c:v>
                </c:pt>
                <c:pt idx="2">
                  <c:v>1935</c:v>
                </c:pt>
                <c:pt idx="3">
                  <c:v>192</c:v>
                </c:pt>
                <c:pt idx="4">
                  <c:v>379</c:v>
                </c:pt>
                <c:pt idx="5">
                  <c:v>302</c:v>
                </c:pt>
                <c:pt idx="6">
                  <c:v>56</c:v>
                </c:pt>
                <c:pt idx="7">
                  <c:v>69</c:v>
                </c:pt>
                <c:pt idx="8">
                  <c:v>6</c:v>
                </c:pt>
                <c:pt idx="9">
                  <c:v>18</c:v>
                </c:pt>
                <c:pt idx="10">
                  <c:v>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7C-4602-9B1D-D25000BCC9FC}"/>
            </c:ext>
          </c:extLst>
        </c:ser>
        <c:ser>
          <c:idx val="1"/>
          <c:order val="1"/>
          <c:tx>
            <c:strRef>
              <c:f>'viaj aloj lugar residen mes'!$Q$8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mes'!$Q$10,'viaj aloj lugar residen mes'!$Q$11,'viaj aloj lugar residen mes'!$Q$14:$Q$22)</c:f>
              <c:numCache>
                <c:formatCode>0.0%</c:formatCode>
                <c:ptCount val="11"/>
                <c:pt idx="0">
                  <c:v>0.21622144792876496</c:v>
                </c:pt>
                <c:pt idx="1">
                  <c:v>0.32077764277035237</c:v>
                </c:pt>
                <c:pt idx="2">
                  <c:v>3.2550693703308431E-2</c:v>
                </c:pt>
                <c:pt idx="3">
                  <c:v>-0.11111111111111116</c:v>
                </c:pt>
                <c:pt idx="4">
                  <c:v>4.4077134986225897E-2</c:v>
                </c:pt>
                <c:pt idx="5">
                  <c:v>6.6666666666665986E-3</c:v>
                </c:pt>
                <c:pt idx="6">
                  <c:v>-0.30864197530864201</c:v>
                </c:pt>
                <c:pt idx="7">
                  <c:v>0.16949152542372881</c:v>
                </c:pt>
                <c:pt idx="8">
                  <c:v>-0.4</c:v>
                </c:pt>
                <c:pt idx="9">
                  <c:v>-0.33333333333333337</c:v>
                </c:pt>
                <c:pt idx="10">
                  <c:v>0.11613691931540338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F7C-4602-9B1D-D25000BCC9FC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F7C-4602-9B1D-D25000BCC9FC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F7C-4602-9B1D-D25000BCC9FC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F7C-4602-9B1D-D25000BCC9FC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F7C-4602-9B1D-D25000BCC9FC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F7C-4602-9B1D-D25000BCC9FC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F7C-4602-9B1D-D25000BCC9FC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F7C-4602-9B1D-D25000BCC9FC}"/>
              </c:ext>
            </c:extLst>
          </c:dPt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mes'!$R$10:$R$11,'viaj aloj lugar residen mes'!$R$14:$R$22)</c:f>
              <c:numCache>
                <c:formatCode>0.0%</c:formatCode>
                <c:ptCount val="11"/>
                <c:pt idx="0">
                  <c:v>1</c:v>
                </c:pt>
                <c:pt idx="1">
                  <c:v>0.69202610218048699</c:v>
                </c:pt>
                <c:pt idx="2">
                  <c:v>0.30797389781951295</c:v>
                </c:pt>
                <c:pt idx="3">
                  <c:v>3.0558650326277255E-2</c:v>
                </c:pt>
                <c:pt idx="4">
                  <c:v>6.0321502466974375E-2</c:v>
                </c:pt>
                <c:pt idx="5">
                  <c:v>4.8066210409040265E-2</c:v>
                </c:pt>
                <c:pt idx="6">
                  <c:v>8.9129396784975324E-3</c:v>
                </c:pt>
                <c:pt idx="7">
                  <c:v>1.0982014961005889E-2</c:v>
                </c:pt>
                <c:pt idx="8">
                  <c:v>9.5495782269616422E-4</c:v>
                </c:pt>
                <c:pt idx="9">
                  <c:v>2.8648734680884929E-3</c:v>
                </c:pt>
                <c:pt idx="10">
                  <c:v>0.145312748686933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F7C-4602-9B1D-D25000BCC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551459596079018"/>
          <c:y val="0.19048427217274536"/>
          <c:w val="0.82247339202719794"/>
          <c:h val="0.409531703273932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alojados lugar residen acu'!$U$7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6C2-4A8C-8100-8D4BCEC03F7C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6C2-4A8C-8100-8D4BCEC03F7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6C2-4A8C-8100-8D4BCEC03F7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6C2-4A8C-8100-8D4BCEC03F7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6C2-4A8C-8100-8D4BCEC03F7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6C2-4A8C-8100-8D4BCEC03F7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6C2-4A8C-8100-8D4BCEC03F7C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6C2-4A8C-8100-8D4BCEC03F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acu'!$U$9:$U$21</c:f>
              <c:numCache>
                <c:formatCode>#,##0</c:formatCode>
                <c:ptCount val="13"/>
                <c:pt idx="0">
                  <c:v>48804</c:v>
                </c:pt>
                <c:pt idx="1">
                  <c:v>30439</c:v>
                </c:pt>
                <c:pt idx="2">
                  <c:v>11235</c:v>
                </c:pt>
                <c:pt idx="3">
                  <c:v>19204</c:v>
                </c:pt>
                <c:pt idx="4">
                  <c:v>18365</c:v>
                </c:pt>
                <c:pt idx="5">
                  <c:v>2221</c:v>
                </c:pt>
                <c:pt idx="6">
                  <c:v>3531</c:v>
                </c:pt>
                <c:pt idx="7">
                  <c:v>3147</c:v>
                </c:pt>
                <c:pt idx="8">
                  <c:v>756</c:v>
                </c:pt>
                <c:pt idx="9">
                  <c:v>728</c:v>
                </c:pt>
                <c:pt idx="10">
                  <c:v>165</c:v>
                </c:pt>
                <c:pt idx="11">
                  <c:v>186</c:v>
                </c:pt>
                <c:pt idx="12">
                  <c:v>7631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6C2-4A8C-8100-8D4BCEC03F7C}"/>
            </c:ext>
          </c:extLst>
        </c:ser>
        <c:ser>
          <c:idx val="1"/>
          <c:order val="1"/>
          <c:tx>
            <c:strRef>
              <c:f>'viaj alojados lugar residen acu'!$V$7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acu'!$V$9:$V$21</c:f>
              <c:numCache>
                <c:formatCode>0.0%</c:formatCode>
                <c:ptCount val="13"/>
                <c:pt idx="0">
                  <c:v>-4.4266742824503602E-3</c:v>
                </c:pt>
                <c:pt idx="1">
                  <c:v>1.1632157931469989E-2</c:v>
                </c:pt>
                <c:pt idx="2">
                  <c:v>0.21119016817593783</c:v>
                </c:pt>
                <c:pt idx="3">
                  <c:v>-7.7307452073223426E-2</c:v>
                </c:pt>
                <c:pt idx="4">
                  <c:v>-2.994929220367637E-2</c:v>
                </c:pt>
                <c:pt idx="5">
                  <c:v>-0.17126865671641789</c:v>
                </c:pt>
                <c:pt idx="6">
                  <c:v>-8.3571243187126942E-2</c:v>
                </c:pt>
                <c:pt idx="7">
                  <c:v>-1.2550988390335749E-2</c:v>
                </c:pt>
                <c:pt idx="8">
                  <c:v>-0.12601156069364161</c:v>
                </c:pt>
                <c:pt idx="9">
                  <c:v>-2.1505376344086002E-2</c:v>
                </c:pt>
                <c:pt idx="10">
                  <c:v>-0.18316831683168322</c:v>
                </c:pt>
                <c:pt idx="11">
                  <c:v>-0.46857142857142853</c:v>
                </c:pt>
                <c:pt idx="12">
                  <c:v>8.2257835767976184E-2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6C2-4A8C-8100-8D4BCEC03F7C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6C2-4A8C-8100-8D4BCEC03F7C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6C2-4A8C-8100-8D4BCEC03F7C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6C2-4A8C-8100-8D4BCEC03F7C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6C2-4A8C-8100-8D4BCEC03F7C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6C2-4A8C-8100-8D4BCEC03F7C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6C2-4A8C-8100-8D4BCEC03F7C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6C2-4A8C-8100-8D4BCEC03F7C}"/>
              </c:ext>
            </c:extLst>
          </c:dPt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acu'!$X$9:$X$21</c:f>
              <c:numCache>
                <c:formatCode>0.0%</c:formatCode>
                <c:ptCount val="13"/>
                <c:pt idx="0">
                  <c:v>1</c:v>
                </c:pt>
                <c:pt idx="1">
                  <c:v>0.62369887714121797</c:v>
                </c:pt>
                <c:pt idx="2">
                  <c:v>0.2302065404475043</c:v>
                </c:pt>
                <c:pt idx="3">
                  <c:v>0.39349233669371364</c:v>
                </c:pt>
                <c:pt idx="4">
                  <c:v>0.37630112285878209</c:v>
                </c:pt>
                <c:pt idx="5">
                  <c:v>4.5508564871731827E-2</c:v>
                </c:pt>
                <c:pt idx="6">
                  <c:v>7.2350626997787063E-2</c:v>
                </c:pt>
                <c:pt idx="7">
                  <c:v>6.4482419473813626E-2</c:v>
                </c:pt>
                <c:pt idx="8">
                  <c:v>1.549053356282272E-2</c:v>
                </c:pt>
                <c:pt idx="9">
                  <c:v>1.4916810097532989E-2</c:v>
                </c:pt>
                <c:pt idx="10">
                  <c:v>3.3808704204573397E-3</c:v>
                </c:pt>
                <c:pt idx="11">
                  <c:v>3.8111630194246375E-3</c:v>
                </c:pt>
                <c:pt idx="12">
                  <c:v>0.15636013441521188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6C2-4A8C-8100-8D4BCEC03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C7-4497-8E60-D04F62FD49EA}"/>
              </c:ext>
            </c:extLst>
          </c:dPt>
          <c:val>
            <c:numRef>
              <c:f>'Pernoctaciones evol mensu TF'!$I$9:$I$21</c:f>
              <c:numCache>
                <c:formatCode>#,##0</c:formatCode>
                <c:ptCount val="13"/>
                <c:pt idx="0">
                  <c:v>14353</c:v>
                </c:pt>
                <c:pt idx="1">
                  <c:v>14251</c:v>
                </c:pt>
                <c:pt idx="2">
                  <c:v>15603</c:v>
                </c:pt>
                <c:pt idx="3">
                  <c:v>12703</c:v>
                </c:pt>
                <c:pt idx="4">
                  <c:v>12793</c:v>
                </c:pt>
                <c:pt idx="5">
                  <c:v>10373</c:v>
                </c:pt>
                <c:pt idx="6">
                  <c:v>9594</c:v>
                </c:pt>
                <c:pt idx="7">
                  <c:v>11871</c:v>
                </c:pt>
                <c:pt idx="8">
                  <c:v>10606</c:v>
                </c:pt>
                <c:pt idx="9">
                  <c:v>11107</c:v>
                </c:pt>
                <c:pt idx="10">
                  <c:v>13216</c:v>
                </c:pt>
                <c:pt idx="11">
                  <c:v>11864</c:v>
                </c:pt>
                <c:pt idx="12">
                  <c:v>148334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C7-4497-8E60-D04F62FD49EA}"/>
            </c:ext>
          </c:extLst>
        </c:ser>
        <c:ser>
          <c:idx val="0"/>
          <c:order val="2"/>
          <c:tx>
            <c:strRef>
              <c:f>'Pernoctaciones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AC7-4497-8E60-D04F62FD49E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TF'!$K$9:$K$21</c:f>
              <c:numCache>
                <c:formatCode>#,##0</c:formatCode>
                <c:ptCount val="13"/>
                <c:pt idx="0">
                  <c:v>14581</c:v>
                </c:pt>
                <c:pt idx="1">
                  <c:v>15138</c:v>
                </c:pt>
                <c:pt idx="2">
                  <c:v>15292</c:v>
                </c:pt>
                <c:pt idx="3">
                  <c:v>13439</c:v>
                </c:pt>
                <c:pt idx="4">
                  <c:v>12513</c:v>
                </c:pt>
                <c:pt idx="5">
                  <c:v>10115</c:v>
                </c:pt>
                <c:pt idx="6">
                  <c:v>10140</c:v>
                </c:pt>
                <c:pt idx="7">
                  <c:v>9259</c:v>
                </c:pt>
                <c:pt idx="8">
                  <c:v>11345</c:v>
                </c:pt>
                <c:pt idx="9">
                  <c:v>12187</c:v>
                </c:pt>
                <c:pt idx="10">
                  <c:v>14972</c:v>
                </c:pt>
                <c:pt idx="11">
                  <c:v>13319</c:v>
                </c:pt>
                <c:pt idx="12">
                  <c:v>152300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AC7-4497-8E60-D04F62FD49EA}"/>
            </c:ext>
          </c:extLst>
        </c:ser>
        <c:ser>
          <c:idx val="1"/>
          <c:order val="3"/>
          <c:tx>
            <c:strRef>
              <c:f>'Pernoctaciones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AC7-4497-8E60-D04F62FD49E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AC7-4497-8E60-D04F62FD49E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TF'!$M$9:$M$21</c:f>
              <c:numCache>
                <c:formatCode>#,##0</c:formatCode>
                <c:ptCount val="13"/>
                <c:pt idx="0">
                  <c:v>14255</c:v>
                </c:pt>
                <c:pt idx="1">
                  <c:v>13111</c:v>
                </c:pt>
                <c:pt idx="2">
                  <c:v>14094</c:v>
                </c:pt>
                <c:pt idx="3">
                  <c:v>11979</c:v>
                </c:pt>
                <c:pt idx="4">
                  <c:v>13411</c:v>
                </c:pt>
                <c:pt idx="5">
                  <c:v>11658</c:v>
                </c:pt>
                <c:pt idx="6">
                  <c:v>9995</c:v>
                </c:pt>
                <c:pt idx="7">
                  <c:v>11761</c:v>
                </c:pt>
                <c:pt idx="8">
                  <c:v>10902</c:v>
                </c:pt>
                <c:pt idx="9">
                  <c:v>14433</c:v>
                </c:pt>
                <c:pt idx="12">
                  <c:v>125599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AC7-4497-8E60-D04F62FD4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AC7-4497-8E60-D04F62FD49E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13603</c:v>
                      </c:pt>
                      <c:pt idx="1">
                        <c:v>14342</c:v>
                      </c:pt>
                      <c:pt idx="2">
                        <c:v>5714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6941</c:v>
                      </c:pt>
                      <c:pt idx="8">
                        <c:v>3767</c:v>
                      </c:pt>
                      <c:pt idx="9">
                        <c:v>3603</c:v>
                      </c:pt>
                      <c:pt idx="10">
                        <c:v>3555</c:v>
                      </c:pt>
                      <c:pt idx="11">
                        <c:v>4049</c:v>
                      </c:pt>
                      <c:pt idx="12">
                        <c:v>59047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AC7-4497-8E60-D04F62FD49E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AC7-4497-8E60-D04F62FD49E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AC7-4497-8E60-D04F62FD49E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AC7-4497-8E60-D04F62FD49E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AC7-4497-8E60-D04F62FD49E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AC7-4497-8E60-D04F62FD49E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AC7-4497-8E60-D04F62FD49E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AC7-4497-8E60-D04F62FD49E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AC7-4497-8E60-D04F62FD49E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AC7-4497-8E60-D04F62FD49E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AC7-4497-8E60-D04F62FD49E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AC7-4497-8E60-D04F62FD49E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AC7-4497-8E60-D04F62FD49E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AC7-4497-8E60-D04F62FD49EA}"/>
              </c:ext>
            </c:extLst>
          </c:dPt>
          <c:cat>
            <c:strRef>
              <c:f>'Pernoctaciones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TF'!$N$9:$N$21</c:f>
              <c:numCache>
                <c:formatCode>0.0%</c:formatCode>
                <c:ptCount val="13"/>
                <c:pt idx="0">
                  <c:v>-2.2357862972361309E-2</c:v>
                </c:pt>
                <c:pt idx="1">
                  <c:v>-0.1339014400845554</c:v>
                </c:pt>
                <c:pt idx="2">
                  <c:v>-7.834161653151972E-2</c:v>
                </c:pt>
                <c:pt idx="3">
                  <c:v>-0.10863903564253297</c:v>
                </c:pt>
                <c:pt idx="4">
                  <c:v>7.1765364021417755E-2</c:v>
                </c:pt>
                <c:pt idx="5">
                  <c:v>0.15254572417202183</c:v>
                </c:pt>
                <c:pt idx="6">
                  <c:v>-1.429980276134124E-2</c:v>
                </c:pt>
                <c:pt idx="7">
                  <c:v>0.27022356625985533</c:v>
                </c:pt>
                <c:pt idx="8">
                  <c:v>-3.9048038783605077E-2</c:v>
                </c:pt>
                <c:pt idx="9">
                  <c:v>0.18429474029703785</c:v>
                </c:pt>
                <c:pt idx="12">
                  <c:v>1.2821650041529242E-2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AC7-4497-8E60-D04F62FD4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62A-428B-AD9A-5E14163A911E}"/>
              </c:ext>
            </c:extLst>
          </c:dPt>
          <c:val>
            <c:numRef>
              <c:f>'Viajeros entr evol mensu TF'!$I$53:$I$65</c:f>
              <c:numCache>
                <c:formatCode>#,##0</c:formatCode>
                <c:ptCount val="13"/>
                <c:pt idx="0">
                  <c:v>1557</c:v>
                </c:pt>
                <c:pt idx="1">
                  <c:v>2612</c:v>
                </c:pt>
                <c:pt idx="2">
                  <c:v>2794</c:v>
                </c:pt>
                <c:pt idx="3">
                  <c:v>2342</c:v>
                </c:pt>
                <c:pt idx="4">
                  <c:v>2194</c:v>
                </c:pt>
                <c:pt idx="5">
                  <c:v>2466</c:v>
                </c:pt>
                <c:pt idx="6">
                  <c:v>1977</c:v>
                </c:pt>
                <c:pt idx="7">
                  <c:v>1933</c:v>
                </c:pt>
                <c:pt idx="8">
                  <c:v>2450</c:v>
                </c:pt>
                <c:pt idx="9">
                  <c:v>2164</c:v>
                </c:pt>
                <c:pt idx="10">
                  <c:v>1784</c:v>
                </c:pt>
                <c:pt idx="11">
                  <c:v>1425</c:v>
                </c:pt>
                <c:pt idx="12">
                  <c:v>25698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2A-428B-AD9A-5E14163A911E}"/>
            </c:ext>
          </c:extLst>
        </c:ser>
        <c:ser>
          <c:idx val="0"/>
          <c:order val="2"/>
          <c:tx>
            <c:strRef>
              <c:f>'Viajeros entr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62A-428B-AD9A-5E14163A911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TF'!$K$53:$K$65</c:f>
              <c:numCache>
                <c:formatCode>#,##0</c:formatCode>
                <c:ptCount val="13"/>
                <c:pt idx="0">
                  <c:v>1445</c:v>
                </c:pt>
                <c:pt idx="1">
                  <c:v>1852</c:v>
                </c:pt>
                <c:pt idx="2">
                  <c:v>1883</c:v>
                </c:pt>
                <c:pt idx="3">
                  <c:v>2557</c:v>
                </c:pt>
                <c:pt idx="4">
                  <c:v>2203</c:v>
                </c:pt>
                <c:pt idx="5">
                  <c:v>2292</c:v>
                </c:pt>
                <c:pt idx="6">
                  <c:v>1831</c:v>
                </c:pt>
                <c:pt idx="7">
                  <c:v>1542</c:v>
                </c:pt>
                <c:pt idx="8">
                  <c:v>2346</c:v>
                </c:pt>
                <c:pt idx="9">
                  <c:v>2197</c:v>
                </c:pt>
                <c:pt idx="10">
                  <c:v>2044</c:v>
                </c:pt>
                <c:pt idx="11">
                  <c:v>1752</c:v>
                </c:pt>
                <c:pt idx="12">
                  <c:v>23944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2A-428B-AD9A-5E14163A911E}"/>
            </c:ext>
          </c:extLst>
        </c:ser>
        <c:ser>
          <c:idx val="1"/>
          <c:order val="3"/>
          <c:tx>
            <c:strRef>
              <c:f>'Viajeros entr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62A-428B-AD9A-5E14163A911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62A-428B-AD9A-5E14163A911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TF'!$M$53:$M$65</c:f>
              <c:numCache>
                <c:formatCode>#,##0</c:formatCode>
                <c:ptCount val="13"/>
                <c:pt idx="0">
                  <c:v>1752</c:v>
                </c:pt>
                <c:pt idx="1">
                  <c:v>1371</c:v>
                </c:pt>
                <c:pt idx="2">
                  <c:v>1927</c:v>
                </c:pt>
                <c:pt idx="3">
                  <c:v>2005</c:v>
                </c:pt>
                <c:pt idx="4">
                  <c:v>2100</c:v>
                </c:pt>
                <c:pt idx="5">
                  <c:v>2095</c:v>
                </c:pt>
                <c:pt idx="6">
                  <c:v>1628</c:v>
                </c:pt>
                <c:pt idx="7">
                  <c:v>1342</c:v>
                </c:pt>
                <c:pt idx="8">
                  <c:v>2156</c:v>
                </c:pt>
                <c:pt idx="9">
                  <c:v>2204</c:v>
                </c:pt>
                <c:pt idx="12">
                  <c:v>18580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62A-428B-AD9A-5E14163A9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62A-428B-AD9A-5E14163A911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1208</c:v>
                      </c:pt>
                      <c:pt idx="1">
                        <c:v>1387</c:v>
                      </c:pt>
                      <c:pt idx="2">
                        <c:v>620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1123</c:v>
                      </c:pt>
                      <c:pt idx="8">
                        <c:v>763</c:v>
                      </c:pt>
                      <c:pt idx="9">
                        <c:v>792</c:v>
                      </c:pt>
                      <c:pt idx="10">
                        <c:v>488</c:v>
                      </c:pt>
                      <c:pt idx="11">
                        <c:v>371</c:v>
                      </c:pt>
                      <c:pt idx="12">
                        <c:v>7339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62A-428B-AD9A-5E14163A911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62A-428B-AD9A-5E14163A911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62A-428B-AD9A-5E14163A911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62A-428B-AD9A-5E14163A911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62A-428B-AD9A-5E14163A911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62A-428B-AD9A-5E14163A911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62A-428B-AD9A-5E14163A911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62A-428B-AD9A-5E14163A911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62A-428B-AD9A-5E14163A911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62A-428B-AD9A-5E14163A911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62A-428B-AD9A-5E14163A911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62A-428B-AD9A-5E14163A911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62A-428B-AD9A-5E14163A911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62A-428B-AD9A-5E14163A911E}"/>
              </c:ext>
            </c:extLst>
          </c:dPt>
          <c:cat>
            <c:strRef>
              <c:f>'Viajeros entr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TF'!$N$53:$N$65</c:f>
              <c:numCache>
                <c:formatCode>0.0%</c:formatCode>
                <c:ptCount val="13"/>
                <c:pt idx="0">
                  <c:v>0.21245674740484422</c:v>
                </c:pt>
                <c:pt idx="1">
                  <c:v>-0.25971922246220303</c:v>
                </c:pt>
                <c:pt idx="2">
                  <c:v>2.3366967604885769E-2</c:v>
                </c:pt>
                <c:pt idx="3">
                  <c:v>-0.21587798201016817</c:v>
                </c:pt>
                <c:pt idx="4">
                  <c:v>-4.6754425783023135E-2</c:v>
                </c:pt>
                <c:pt idx="5">
                  <c:v>-8.5951134380453764E-2</c:v>
                </c:pt>
                <c:pt idx="6">
                  <c:v>-0.11086837793555437</c:v>
                </c:pt>
                <c:pt idx="7">
                  <c:v>-0.12970168612191957</c:v>
                </c:pt>
                <c:pt idx="8">
                  <c:v>-8.0988917306052843E-2</c:v>
                </c:pt>
                <c:pt idx="9">
                  <c:v>3.1861629494764898E-3</c:v>
                </c:pt>
                <c:pt idx="12">
                  <c:v>-7.7824101647806287E-2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62A-428B-AD9A-5E14163A9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D3-4ABB-9FAC-FB25DFC97D2E}"/>
              </c:ext>
            </c:extLst>
          </c:dPt>
          <c:val>
            <c:numRef>
              <c:f>'Pernoctaciones evol mensu TF'!$I$31:$I$43</c:f>
              <c:numCache>
                <c:formatCode>#,##0</c:formatCode>
                <c:ptCount val="13"/>
                <c:pt idx="0">
                  <c:v>5640</c:v>
                </c:pt>
                <c:pt idx="1">
                  <c:v>5737</c:v>
                </c:pt>
                <c:pt idx="2">
                  <c:v>6448</c:v>
                </c:pt>
                <c:pt idx="3">
                  <c:v>6231</c:v>
                </c:pt>
                <c:pt idx="4">
                  <c:v>7187</c:v>
                </c:pt>
                <c:pt idx="5">
                  <c:v>6546</c:v>
                </c:pt>
                <c:pt idx="6">
                  <c:v>6308</c:v>
                </c:pt>
                <c:pt idx="7">
                  <c:v>7150</c:v>
                </c:pt>
                <c:pt idx="8">
                  <c:v>6420</c:v>
                </c:pt>
                <c:pt idx="9">
                  <c:v>5517</c:v>
                </c:pt>
                <c:pt idx="10">
                  <c:v>4448</c:v>
                </c:pt>
                <c:pt idx="11">
                  <c:v>4800</c:v>
                </c:pt>
                <c:pt idx="12">
                  <c:v>72432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D3-4ABB-9FAC-FB25DFC97D2E}"/>
            </c:ext>
          </c:extLst>
        </c:ser>
        <c:ser>
          <c:idx val="0"/>
          <c:order val="2"/>
          <c:tx>
            <c:strRef>
              <c:f>'Pernoctaciones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0D3-4ABB-9FAC-FB25DFC97D2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TF'!$K$31:$K$43</c:f>
              <c:numCache>
                <c:formatCode>#,##0</c:formatCode>
                <c:ptCount val="13"/>
                <c:pt idx="0">
                  <c:v>3830</c:v>
                </c:pt>
                <c:pt idx="1">
                  <c:v>4983</c:v>
                </c:pt>
                <c:pt idx="2">
                  <c:v>5213</c:v>
                </c:pt>
                <c:pt idx="3">
                  <c:v>5955</c:v>
                </c:pt>
                <c:pt idx="4">
                  <c:v>6735</c:v>
                </c:pt>
                <c:pt idx="5">
                  <c:v>6147</c:v>
                </c:pt>
                <c:pt idx="6">
                  <c:v>6741</c:v>
                </c:pt>
                <c:pt idx="7">
                  <c:v>4695</c:v>
                </c:pt>
                <c:pt idx="8">
                  <c:v>7407</c:v>
                </c:pt>
                <c:pt idx="9">
                  <c:v>5734</c:v>
                </c:pt>
                <c:pt idx="10">
                  <c:v>7338</c:v>
                </c:pt>
                <c:pt idx="11">
                  <c:v>6283</c:v>
                </c:pt>
                <c:pt idx="12">
                  <c:v>71061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D3-4ABB-9FAC-FB25DFC97D2E}"/>
            </c:ext>
          </c:extLst>
        </c:ser>
        <c:ser>
          <c:idx val="1"/>
          <c:order val="3"/>
          <c:tx>
            <c:strRef>
              <c:f>'Pernoctaciones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D3-4ABB-9FAC-FB25DFC97D2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0D3-4ABB-9FAC-FB25DFC97D2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TF'!$M$31:$M$43</c:f>
              <c:numCache>
                <c:formatCode>#,##0</c:formatCode>
                <c:ptCount val="13"/>
                <c:pt idx="0">
                  <c:v>4817</c:v>
                </c:pt>
                <c:pt idx="1">
                  <c:v>3847</c:v>
                </c:pt>
                <c:pt idx="2">
                  <c:v>4829</c:v>
                </c:pt>
                <c:pt idx="3">
                  <c:v>6149</c:v>
                </c:pt>
                <c:pt idx="4">
                  <c:v>7528</c:v>
                </c:pt>
                <c:pt idx="5">
                  <c:v>7419</c:v>
                </c:pt>
                <c:pt idx="6">
                  <c:v>6401</c:v>
                </c:pt>
                <c:pt idx="7">
                  <c:v>7231</c:v>
                </c:pt>
                <c:pt idx="8">
                  <c:v>6574</c:v>
                </c:pt>
                <c:pt idx="9">
                  <c:v>7715</c:v>
                </c:pt>
                <c:pt idx="12">
                  <c:v>62510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0D3-4ABB-9FAC-FB25DFC97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0D3-4ABB-9FAC-FB25DFC97D2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5825</c:v>
                      </c:pt>
                      <c:pt idx="1">
                        <c:v>5371</c:v>
                      </c:pt>
                      <c:pt idx="2">
                        <c:v>2182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5019</c:v>
                      </c:pt>
                      <c:pt idx="8">
                        <c:v>3075</c:v>
                      </c:pt>
                      <c:pt idx="9">
                        <c:v>2778</c:v>
                      </c:pt>
                      <c:pt idx="10">
                        <c:v>2443</c:v>
                      </c:pt>
                      <c:pt idx="11">
                        <c:v>2474</c:v>
                      </c:pt>
                      <c:pt idx="12">
                        <c:v>31800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0D3-4ABB-9FAC-FB25DFC97D2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0D3-4ABB-9FAC-FB25DFC97D2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0D3-4ABB-9FAC-FB25DFC97D2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0D3-4ABB-9FAC-FB25DFC97D2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0D3-4ABB-9FAC-FB25DFC97D2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0D3-4ABB-9FAC-FB25DFC97D2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0D3-4ABB-9FAC-FB25DFC97D2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0D3-4ABB-9FAC-FB25DFC97D2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0D3-4ABB-9FAC-FB25DFC97D2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0D3-4ABB-9FAC-FB25DFC97D2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0D3-4ABB-9FAC-FB25DFC97D2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0D3-4ABB-9FAC-FB25DFC97D2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0D3-4ABB-9FAC-FB25DFC97D2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0D3-4ABB-9FAC-FB25DFC97D2E}"/>
              </c:ext>
            </c:extLst>
          </c:dPt>
          <c:cat>
            <c:strRef>
              <c:f>'Pernoctaciones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TF'!$N$31:$N$43</c:f>
              <c:numCache>
                <c:formatCode>0.0%</c:formatCode>
                <c:ptCount val="13"/>
                <c:pt idx="0">
                  <c:v>0.25770234986945173</c:v>
                </c:pt>
                <c:pt idx="1">
                  <c:v>-0.22797511539233395</c:v>
                </c:pt>
                <c:pt idx="2">
                  <c:v>-7.3661998849031241E-2</c:v>
                </c:pt>
                <c:pt idx="3">
                  <c:v>3.2577665827036029E-2</c:v>
                </c:pt>
                <c:pt idx="4">
                  <c:v>0.11774313288789906</c:v>
                </c:pt>
                <c:pt idx="5">
                  <c:v>0.20693020985846755</c:v>
                </c:pt>
                <c:pt idx="6">
                  <c:v>-5.0437620531078475E-2</c:v>
                </c:pt>
                <c:pt idx="7">
                  <c:v>0.54014909478168271</c:v>
                </c:pt>
                <c:pt idx="8">
                  <c:v>-0.11246118536519512</c:v>
                </c:pt>
                <c:pt idx="9">
                  <c:v>0.34548308336239963</c:v>
                </c:pt>
                <c:pt idx="12">
                  <c:v>8.8266016713091977E-2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0D3-4ABB-9FAC-FB25DFC97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64E-4312-9345-82EF727F4AFF}"/>
              </c:ext>
            </c:extLst>
          </c:dPt>
          <c:val>
            <c:numRef>
              <c:f>'Pernoctaciones evol mensu TF'!$I$53:$I$65</c:f>
              <c:numCache>
                <c:formatCode>#,##0</c:formatCode>
                <c:ptCount val="13"/>
                <c:pt idx="0">
                  <c:v>3391</c:v>
                </c:pt>
                <c:pt idx="1">
                  <c:v>4989</c:v>
                </c:pt>
                <c:pt idx="2">
                  <c:v>5342</c:v>
                </c:pt>
                <c:pt idx="3">
                  <c:v>4282</c:v>
                </c:pt>
                <c:pt idx="4">
                  <c:v>5072</c:v>
                </c:pt>
                <c:pt idx="5">
                  <c:v>5380</c:v>
                </c:pt>
                <c:pt idx="6">
                  <c:v>4305</c:v>
                </c:pt>
                <c:pt idx="7">
                  <c:v>4444</c:v>
                </c:pt>
                <c:pt idx="8">
                  <c:v>4892</c:v>
                </c:pt>
                <c:pt idx="9">
                  <c:v>4470</c:v>
                </c:pt>
                <c:pt idx="10">
                  <c:v>3373</c:v>
                </c:pt>
                <c:pt idx="11">
                  <c:v>2886</c:v>
                </c:pt>
                <c:pt idx="12">
                  <c:v>52826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4E-4312-9345-82EF727F4AFF}"/>
            </c:ext>
          </c:extLst>
        </c:ser>
        <c:ser>
          <c:idx val="0"/>
          <c:order val="2"/>
          <c:tx>
            <c:strRef>
              <c:f>'Pernoctaciones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64E-4312-9345-82EF727F4AF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TF'!$K$53:$K$65</c:f>
              <c:numCache>
                <c:formatCode>#,##0</c:formatCode>
                <c:ptCount val="13"/>
                <c:pt idx="0">
                  <c:v>2615</c:v>
                </c:pt>
                <c:pt idx="1">
                  <c:v>3734</c:v>
                </c:pt>
                <c:pt idx="2">
                  <c:v>3989</c:v>
                </c:pt>
                <c:pt idx="3">
                  <c:v>4847</c:v>
                </c:pt>
                <c:pt idx="4">
                  <c:v>4477</c:v>
                </c:pt>
                <c:pt idx="5">
                  <c:v>4983</c:v>
                </c:pt>
                <c:pt idx="6">
                  <c:v>4074</c:v>
                </c:pt>
                <c:pt idx="7">
                  <c:v>3603</c:v>
                </c:pt>
                <c:pt idx="8">
                  <c:v>4736</c:v>
                </c:pt>
                <c:pt idx="9">
                  <c:v>4427</c:v>
                </c:pt>
                <c:pt idx="10">
                  <c:v>4221</c:v>
                </c:pt>
                <c:pt idx="11">
                  <c:v>3709</c:v>
                </c:pt>
                <c:pt idx="12">
                  <c:v>49415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4E-4312-9345-82EF727F4AFF}"/>
            </c:ext>
          </c:extLst>
        </c:ser>
        <c:ser>
          <c:idx val="1"/>
          <c:order val="3"/>
          <c:tx>
            <c:strRef>
              <c:f>'Pernoctaciones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64E-4312-9345-82EF727F4AF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64E-4312-9345-82EF727F4AF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TF'!$M$53:$M$65</c:f>
              <c:numCache>
                <c:formatCode>#,##0</c:formatCode>
                <c:ptCount val="13"/>
                <c:pt idx="0">
                  <c:v>3451</c:v>
                </c:pt>
                <c:pt idx="1">
                  <c:v>2525</c:v>
                </c:pt>
                <c:pt idx="2">
                  <c:v>3569</c:v>
                </c:pt>
                <c:pt idx="3">
                  <c:v>4818</c:v>
                </c:pt>
                <c:pt idx="4">
                  <c:v>4362</c:v>
                </c:pt>
                <c:pt idx="5">
                  <c:v>4317</c:v>
                </c:pt>
                <c:pt idx="6">
                  <c:v>4339</c:v>
                </c:pt>
                <c:pt idx="7">
                  <c:v>3570</c:v>
                </c:pt>
                <c:pt idx="8">
                  <c:v>4766</c:v>
                </c:pt>
                <c:pt idx="9">
                  <c:v>4745</c:v>
                </c:pt>
                <c:pt idx="12">
                  <c:v>40462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64E-4312-9345-82EF727F4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64E-4312-9345-82EF727F4A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2984</c:v>
                      </c:pt>
                      <c:pt idx="1">
                        <c:v>2825</c:v>
                      </c:pt>
                      <c:pt idx="2">
                        <c:v>1144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2716</c:v>
                      </c:pt>
                      <c:pt idx="8">
                        <c:v>1767</c:v>
                      </c:pt>
                      <c:pt idx="9">
                        <c:v>1904</c:v>
                      </c:pt>
                      <c:pt idx="10">
                        <c:v>1069</c:v>
                      </c:pt>
                      <c:pt idx="11">
                        <c:v>681</c:v>
                      </c:pt>
                      <c:pt idx="12">
                        <c:v>16251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64E-4312-9345-82EF727F4AF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64E-4312-9345-82EF727F4AF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64E-4312-9345-82EF727F4AF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64E-4312-9345-82EF727F4AF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64E-4312-9345-82EF727F4AF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64E-4312-9345-82EF727F4AF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64E-4312-9345-82EF727F4AF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64E-4312-9345-82EF727F4AF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64E-4312-9345-82EF727F4AF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64E-4312-9345-82EF727F4AF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64E-4312-9345-82EF727F4AF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64E-4312-9345-82EF727F4AF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64E-4312-9345-82EF727F4AF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64E-4312-9345-82EF727F4AFF}"/>
              </c:ext>
            </c:extLst>
          </c:dPt>
          <c:cat>
            <c:strRef>
              <c:f>'Pernoctaciones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TF'!$N$53:$N$65</c:f>
              <c:numCache>
                <c:formatCode>0.0%</c:formatCode>
                <c:ptCount val="13"/>
                <c:pt idx="0">
                  <c:v>0.31969407265774374</c:v>
                </c:pt>
                <c:pt idx="1">
                  <c:v>-0.32378146759507231</c:v>
                </c:pt>
                <c:pt idx="2">
                  <c:v>-0.10528954625219356</c:v>
                </c:pt>
                <c:pt idx="3">
                  <c:v>-5.9830823189601645E-3</c:v>
                </c:pt>
                <c:pt idx="4">
                  <c:v>-2.5686843868662046E-2</c:v>
                </c:pt>
                <c:pt idx="5">
                  <c:v>-0.13365442504515357</c:v>
                </c:pt>
                <c:pt idx="6">
                  <c:v>6.5046637211585656E-2</c:v>
                </c:pt>
                <c:pt idx="7">
                  <c:v>-9.1590341382181695E-3</c:v>
                </c:pt>
                <c:pt idx="8">
                  <c:v>6.3344594594594295E-3</c:v>
                </c:pt>
                <c:pt idx="9">
                  <c:v>7.1831940365936209E-2</c:v>
                </c:pt>
                <c:pt idx="12">
                  <c:v>-2.4659515487525652E-2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64E-4312-9345-82EF727F4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907-4386-AE29-7CF905EBB756}"/>
              </c:ext>
            </c:extLst>
          </c:dPt>
          <c:val>
            <c:numRef>
              <c:f>'Pernoctaciones evol mensu TF'!$I$75:$I$87</c:f>
              <c:numCache>
                <c:formatCode>#,##0</c:formatCode>
                <c:ptCount val="13"/>
                <c:pt idx="0">
                  <c:v>2249</c:v>
                </c:pt>
                <c:pt idx="1">
                  <c:v>748</c:v>
                </c:pt>
                <c:pt idx="2">
                  <c:v>1106</c:v>
                </c:pt>
                <c:pt idx="3">
                  <c:v>1949</c:v>
                </c:pt>
                <c:pt idx="4">
                  <c:v>2115</c:v>
                </c:pt>
                <c:pt idx="5">
                  <c:v>1166</c:v>
                </c:pt>
                <c:pt idx="6">
                  <c:v>2003</c:v>
                </c:pt>
                <c:pt idx="7">
                  <c:v>2706</c:v>
                </c:pt>
                <c:pt idx="8">
                  <c:v>1528</c:v>
                </c:pt>
                <c:pt idx="9">
                  <c:v>1047</c:v>
                </c:pt>
                <c:pt idx="10">
                  <c:v>1075</c:v>
                </c:pt>
                <c:pt idx="11">
                  <c:v>1914</c:v>
                </c:pt>
                <c:pt idx="12">
                  <c:v>19606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07-4386-AE29-7CF905EBB756}"/>
            </c:ext>
          </c:extLst>
        </c:ser>
        <c:ser>
          <c:idx val="0"/>
          <c:order val="2"/>
          <c:tx>
            <c:strRef>
              <c:f>'Pernoctaciones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907-4386-AE29-7CF905EBB75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TF'!$K$75:$K$87</c:f>
              <c:numCache>
                <c:formatCode>#,##0</c:formatCode>
                <c:ptCount val="13"/>
                <c:pt idx="0">
                  <c:v>1215</c:v>
                </c:pt>
                <c:pt idx="1">
                  <c:v>1249</c:v>
                </c:pt>
                <c:pt idx="2">
                  <c:v>1224</c:v>
                </c:pt>
                <c:pt idx="3">
                  <c:v>1108</c:v>
                </c:pt>
                <c:pt idx="4">
                  <c:v>2258</c:v>
                </c:pt>
                <c:pt idx="5">
                  <c:v>1164</c:v>
                </c:pt>
                <c:pt idx="6">
                  <c:v>2667</c:v>
                </c:pt>
                <c:pt idx="7">
                  <c:v>1092</c:v>
                </c:pt>
                <c:pt idx="8">
                  <c:v>2671</c:v>
                </c:pt>
                <c:pt idx="9">
                  <c:v>1307</c:v>
                </c:pt>
                <c:pt idx="10">
                  <c:v>3117</c:v>
                </c:pt>
                <c:pt idx="11">
                  <c:v>2574</c:v>
                </c:pt>
                <c:pt idx="12">
                  <c:v>21646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907-4386-AE29-7CF905EBB756}"/>
            </c:ext>
          </c:extLst>
        </c:ser>
        <c:ser>
          <c:idx val="1"/>
          <c:order val="3"/>
          <c:tx>
            <c:strRef>
              <c:f>'Pernoctaciones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907-4386-AE29-7CF905EBB75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907-4386-AE29-7CF905EBB75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TF'!$M$75:$M$87</c:f>
              <c:numCache>
                <c:formatCode>#,##0</c:formatCode>
                <c:ptCount val="13"/>
                <c:pt idx="0">
                  <c:v>1366</c:v>
                </c:pt>
                <c:pt idx="1">
                  <c:v>1322</c:v>
                </c:pt>
                <c:pt idx="2">
                  <c:v>1260</c:v>
                </c:pt>
                <c:pt idx="3">
                  <c:v>1331</c:v>
                </c:pt>
                <c:pt idx="4">
                  <c:v>3166</c:v>
                </c:pt>
                <c:pt idx="5">
                  <c:v>3102</c:v>
                </c:pt>
                <c:pt idx="6">
                  <c:v>2062</c:v>
                </c:pt>
                <c:pt idx="7">
                  <c:v>3661</c:v>
                </c:pt>
                <c:pt idx="8">
                  <c:v>1808</c:v>
                </c:pt>
                <c:pt idx="9">
                  <c:v>2970</c:v>
                </c:pt>
                <c:pt idx="12">
                  <c:v>22048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907-4386-AE29-7CF905EBB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907-4386-AE29-7CF905EBB75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2841</c:v>
                      </c:pt>
                      <c:pt idx="1">
                        <c:v>2546</c:v>
                      </c:pt>
                      <c:pt idx="2">
                        <c:v>1038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2303</c:v>
                      </c:pt>
                      <c:pt idx="8">
                        <c:v>1308</c:v>
                      </c:pt>
                      <c:pt idx="9">
                        <c:v>874</c:v>
                      </c:pt>
                      <c:pt idx="10">
                        <c:v>1374</c:v>
                      </c:pt>
                      <c:pt idx="11">
                        <c:v>1793</c:v>
                      </c:pt>
                      <c:pt idx="12">
                        <c:v>15549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907-4386-AE29-7CF905EBB75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907-4386-AE29-7CF905EBB75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907-4386-AE29-7CF905EBB75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907-4386-AE29-7CF905EBB75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907-4386-AE29-7CF905EBB75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907-4386-AE29-7CF905EBB75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907-4386-AE29-7CF905EBB75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907-4386-AE29-7CF905EBB75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907-4386-AE29-7CF905EBB75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907-4386-AE29-7CF905EBB75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907-4386-AE29-7CF905EBB75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907-4386-AE29-7CF905EBB75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907-4386-AE29-7CF905EBB75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907-4386-AE29-7CF905EBB756}"/>
              </c:ext>
            </c:extLst>
          </c:dPt>
          <c:cat>
            <c:strRef>
              <c:f>'Pernoctaciones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TF'!$N$75:$N$87</c:f>
              <c:numCache>
                <c:formatCode>0.0%</c:formatCode>
                <c:ptCount val="13"/>
                <c:pt idx="0">
                  <c:v>0.12427983539094645</c:v>
                </c:pt>
                <c:pt idx="1">
                  <c:v>5.8446757405924643E-2</c:v>
                </c:pt>
                <c:pt idx="2">
                  <c:v>2.9411764705882248E-2</c:v>
                </c:pt>
                <c:pt idx="3">
                  <c:v>0.20126353790613716</c:v>
                </c:pt>
                <c:pt idx="4">
                  <c:v>0.40212577502214342</c:v>
                </c:pt>
                <c:pt idx="5">
                  <c:v>1.6649484536082473</c:v>
                </c:pt>
                <c:pt idx="6">
                  <c:v>-0.22684664416947886</c:v>
                </c:pt>
                <c:pt idx="7">
                  <c:v>2.3525641025641026</c:v>
                </c:pt>
                <c:pt idx="8">
                  <c:v>-0.32309996256083862</c:v>
                </c:pt>
                <c:pt idx="9">
                  <c:v>1.2723794950267791</c:v>
                </c:pt>
                <c:pt idx="12">
                  <c:v>0.38188655593857734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907-4386-AE29-7CF905EBB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2F-4E7D-AE2C-1E21733C63D3}"/>
              </c:ext>
            </c:extLst>
          </c:dPt>
          <c:val>
            <c:numRef>
              <c:f>'Pernoctaciones evol mensu TF'!$I$97:$I$109</c:f>
              <c:numCache>
                <c:formatCode>#,##0</c:formatCode>
                <c:ptCount val="13"/>
                <c:pt idx="0">
                  <c:v>8713</c:v>
                </c:pt>
                <c:pt idx="1">
                  <c:v>8514</c:v>
                </c:pt>
                <c:pt idx="2">
                  <c:v>9155</c:v>
                </c:pt>
                <c:pt idx="3">
                  <c:v>6472</c:v>
                </c:pt>
                <c:pt idx="4">
                  <c:v>5606</c:v>
                </c:pt>
                <c:pt idx="5">
                  <c:v>3827</c:v>
                </c:pt>
                <c:pt idx="6">
                  <c:v>3286</c:v>
                </c:pt>
                <c:pt idx="7">
                  <c:v>4721</c:v>
                </c:pt>
                <c:pt idx="8">
                  <c:v>4186</c:v>
                </c:pt>
                <c:pt idx="9">
                  <c:v>5590</c:v>
                </c:pt>
                <c:pt idx="10">
                  <c:v>8768</c:v>
                </c:pt>
                <c:pt idx="11">
                  <c:v>7064</c:v>
                </c:pt>
                <c:pt idx="12">
                  <c:v>75902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2F-4E7D-AE2C-1E21733C63D3}"/>
            </c:ext>
          </c:extLst>
        </c:ser>
        <c:ser>
          <c:idx val="0"/>
          <c:order val="2"/>
          <c:tx>
            <c:strRef>
              <c:f>'Pernoctaciones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E2F-4E7D-AE2C-1E21733C63D3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TF'!$K$97:$K$109</c:f>
              <c:numCache>
                <c:formatCode>#,##0</c:formatCode>
                <c:ptCount val="13"/>
                <c:pt idx="0">
                  <c:v>10751</c:v>
                </c:pt>
                <c:pt idx="1">
                  <c:v>10155</c:v>
                </c:pt>
                <c:pt idx="2">
                  <c:v>10079</c:v>
                </c:pt>
                <c:pt idx="3">
                  <c:v>7484</c:v>
                </c:pt>
                <c:pt idx="4">
                  <c:v>5778</c:v>
                </c:pt>
                <c:pt idx="5">
                  <c:v>3968</c:v>
                </c:pt>
                <c:pt idx="6">
                  <c:v>3399</c:v>
                </c:pt>
                <c:pt idx="7">
                  <c:v>4564</c:v>
                </c:pt>
                <c:pt idx="8">
                  <c:v>3938</c:v>
                </c:pt>
                <c:pt idx="9">
                  <c:v>6453</c:v>
                </c:pt>
                <c:pt idx="10">
                  <c:v>7634</c:v>
                </c:pt>
                <c:pt idx="11">
                  <c:v>7036</c:v>
                </c:pt>
                <c:pt idx="12">
                  <c:v>81239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2F-4E7D-AE2C-1E21733C63D3}"/>
            </c:ext>
          </c:extLst>
        </c:ser>
        <c:ser>
          <c:idx val="1"/>
          <c:order val="3"/>
          <c:tx>
            <c:strRef>
              <c:f>'Pernoctaciones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E2F-4E7D-AE2C-1E21733C63D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E2F-4E7D-AE2C-1E21733C63D3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TF'!$M$97:$M$109</c:f>
              <c:numCache>
                <c:formatCode>#,##0</c:formatCode>
                <c:ptCount val="13"/>
                <c:pt idx="0">
                  <c:v>9438</c:v>
                </c:pt>
                <c:pt idx="1">
                  <c:v>9264</c:v>
                </c:pt>
                <c:pt idx="2">
                  <c:v>9265</c:v>
                </c:pt>
                <c:pt idx="3">
                  <c:v>5830</c:v>
                </c:pt>
                <c:pt idx="4">
                  <c:v>5883</c:v>
                </c:pt>
                <c:pt idx="5">
                  <c:v>4239</c:v>
                </c:pt>
                <c:pt idx="6">
                  <c:v>3594</c:v>
                </c:pt>
                <c:pt idx="7">
                  <c:v>4530</c:v>
                </c:pt>
                <c:pt idx="8">
                  <c:v>4328</c:v>
                </c:pt>
                <c:pt idx="9">
                  <c:v>6718</c:v>
                </c:pt>
                <c:pt idx="12">
                  <c:v>63089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E2F-4E7D-AE2C-1E21733C6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E2F-4E7D-AE2C-1E21733C63D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7778</c:v>
                      </c:pt>
                      <c:pt idx="1">
                        <c:v>8971</c:v>
                      </c:pt>
                      <c:pt idx="2">
                        <c:v>3532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1922</c:v>
                      </c:pt>
                      <c:pt idx="8">
                        <c:v>692</c:v>
                      </c:pt>
                      <c:pt idx="9">
                        <c:v>825</c:v>
                      </c:pt>
                      <c:pt idx="10">
                        <c:v>1112</c:v>
                      </c:pt>
                      <c:pt idx="11">
                        <c:v>1575</c:v>
                      </c:pt>
                      <c:pt idx="12">
                        <c:v>27247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E2F-4E7D-AE2C-1E21733C63D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E2F-4E7D-AE2C-1E21733C63D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E2F-4E7D-AE2C-1E21733C63D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E2F-4E7D-AE2C-1E21733C63D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E2F-4E7D-AE2C-1E21733C63D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E2F-4E7D-AE2C-1E21733C63D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E2F-4E7D-AE2C-1E21733C63D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E2F-4E7D-AE2C-1E21733C63D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E2F-4E7D-AE2C-1E21733C63D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E2F-4E7D-AE2C-1E21733C63D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E2F-4E7D-AE2C-1E21733C63D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E2F-4E7D-AE2C-1E21733C63D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E2F-4E7D-AE2C-1E21733C63D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E2F-4E7D-AE2C-1E21733C63D3}"/>
              </c:ext>
            </c:extLst>
          </c:dPt>
          <c:cat>
            <c:strRef>
              <c:f>'Pernoctaciones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TF'!$N$97:$N$109</c:f>
              <c:numCache>
                <c:formatCode>0.0%</c:formatCode>
                <c:ptCount val="13"/>
                <c:pt idx="0">
                  <c:v>-0.12212817412333732</c:v>
                </c:pt>
                <c:pt idx="1">
                  <c:v>-8.7740029542097475E-2</c:v>
                </c:pt>
                <c:pt idx="2">
                  <c:v>-8.0761980355193996E-2</c:v>
                </c:pt>
                <c:pt idx="3">
                  <c:v>-0.221004810261892</c:v>
                </c:pt>
                <c:pt idx="4">
                  <c:v>1.8172377985462118E-2</c:v>
                </c:pt>
                <c:pt idx="5">
                  <c:v>6.8296370967741993E-2</c:v>
                </c:pt>
                <c:pt idx="6">
                  <c:v>5.7369814651368145E-2</c:v>
                </c:pt>
                <c:pt idx="7">
                  <c:v>-7.4496056091147844E-3</c:v>
                </c:pt>
                <c:pt idx="8">
                  <c:v>9.9035043169121373E-2</c:v>
                </c:pt>
                <c:pt idx="9">
                  <c:v>4.1066170773283783E-2</c:v>
                </c:pt>
                <c:pt idx="12">
                  <c:v>-5.2276585197314041E-2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E2F-4E7D-AE2C-1E21733C6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A3-49FF-9C2A-A2C81C7CBD91}"/>
              </c:ext>
            </c:extLst>
          </c:dPt>
          <c:val>
            <c:numRef>
              <c:f>'Pernoctaciones evol mensu TF'!$I$119:$I$131</c:f>
              <c:numCache>
                <c:formatCode>#,##0</c:formatCode>
                <c:ptCount val="13"/>
                <c:pt idx="0">
                  <c:v>1714</c:v>
                </c:pt>
                <c:pt idx="1">
                  <c:v>1744</c:v>
                </c:pt>
                <c:pt idx="2">
                  <c:v>1558</c:v>
                </c:pt>
                <c:pt idx="3">
                  <c:v>682</c:v>
                </c:pt>
                <c:pt idx="4">
                  <c:v>550</c:v>
                </c:pt>
                <c:pt idx="5">
                  <c:v>510</c:v>
                </c:pt>
                <c:pt idx="6">
                  <c:v>444</c:v>
                </c:pt>
                <c:pt idx="7">
                  <c:v>571</c:v>
                </c:pt>
                <c:pt idx="8">
                  <c:v>664</c:v>
                </c:pt>
                <c:pt idx="9">
                  <c:v>658</c:v>
                </c:pt>
                <c:pt idx="10">
                  <c:v>849</c:v>
                </c:pt>
                <c:pt idx="11">
                  <c:v>1233</c:v>
                </c:pt>
                <c:pt idx="12">
                  <c:v>11177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A3-49FF-9C2A-A2C81C7CBD91}"/>
            </c:ext>
          </c:extLst>
        </c:ser>
        <c:ser>
          <c:idx val="0"/>
          <c:order val="2"/>
          <c:tx>
            <c:strRef>
              <c:f>'Pernoctaciones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8A3-49FF-9C2A-A2C81C7CBD91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TF'!$K$119:$K$131</c:f>
              <c:numCache>
                <c:formatCode>#,##0</c:formatCode>
                <c:ptCount val="13"/>
                <c:pt idx="0">
                  <c:v>1480</c:v>
                </c:pt>
                <c:pt idx="1">
                  <c:v>2068</c:v>
                </c:pt>
                <c:pt idx="2">
                  <c:v>1890</c:v>
                </c:pt>
                <c:pt idx="3">
                  <c:v>1379</c:v>
                </c:pt>
                <c:pt idx="4">
                  <c:v>732</c:v>
                </c:pt>
                <c:pt idx="5">
                  <c:v>471</c:v>
                </c:pt>
                <c:pt idx="6">
                  <c:v>401</c:v>
                </c:pt>
                <c:pt idx="7">
                  <c:v>572</c:v>
                </c:pt>
                <c:pt idx="8">
                  <c:v>519</c:v>
                </c:pt>
                <c:pt idx="9">
                  <c:v>850</c:v>
                </c:pt>
                <c:pt idx="10">
                  <c:v>1075</c:v>
                </c:pt>
                <c:pt idx="11">
                  <c:v>859</c:v>
                </c:pt>
                <c:pt idx="12">
                  <c:v>12296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A3-49FF-9C2A-A2C81C7CBD91}"/>
            </c:ext>
          </c:extLst>
        </c:ser>
        <c:ser>
          <c:idx val="1"/>
          <c:order val="3"/>
          <c:tx>
            <c:strRef>
              <c:f>'Pernoctaciones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8A3-49FF-9C2A-A2C81C7CBD9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8A3-49FF-9C2A-A2C81C7CBD91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TF'!$M$119:$M$131</c:f>
              <c:numCache>
                <c:formatCode>#,##0</c:formatCode>
                <c:ptCount val="13"/>
                <c:pt idx="0">
                  <c:v>1352</c:v>
                </c:pt>
                <c:pt idx="1">
                  <c:v>1741</c:v>
                </c:pt>
                <c:pt idx="2">
                  <c:v>1246</c:v>
                </c:pt>
                <c:pt idx="3">
                  <c:v>652</c:v>
                </c:pt>
                <c:pt idx="4">
                  <c:v>482</c:v>
                </c:pt>
                <c:pt idx="5">
                  <c:v>452</c:v>
                </c:pt>
                <c:pt idx="6">
                  <c:v>401</c:v>
                </c:pt>
                <c:pt idx="7">
                  <c:v>348</c:v>
                </c:pt>
                <c:pt idx="8">
                  <c:v>478</c:v>
                </c:pt>
                <c:pt idx="9">
                  <c:v>773</c:v>
                </c:pt>
                <c:pt idx="12">
                  <c:v>7925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8A3-49FF-9C2A-A2C81C7CB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8A3-49FF-9C2A-A2C81C7CBD9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1433</c:v>
                      </c:pt>
                      <c:pt idx="1">
                        <c:v>2393</c:v>
                      </c:pt>
                      <c:pt idx="2">
                        <c:v>615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66</c:v>
                      </c:pt>
                      <c:pt idx="8">
                        <c:v>42</c:v>
                      </c:pt>
                      <c:pt idx="9">
                        <c:v>90</c:v>
                      </c:pt>
                      <c:pt idx="10">
                        <c:v>206</c:v>
                      </c:pt>
                      <c:pt idx="11">
                        <c:v>136</c:v>
                      </c:pt>
                      <c:pt idx="12">
                        <c:v>5019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8A3-49FF-9C2A-A2C81C7CBD9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8A3-49FF-9C2A-A2C81C7CBD9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8A3-49FF-9C2A-A2C81C7CBD9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8A3-49FF-9C2A-A2C81C7CBD9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8A3-49FF-9C2A-A2C81C7CBD9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8A3-49FF-9C2A-A2C81C7CBD9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8A3-49FF-9C2A-A2C81C7CBD9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8A3-49FF-9C2A-A2C81C7CBD9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8A3-49FF-9C2A-A2C81C7CBD9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8A3-49FF-9C2A-A2C81C7CBD9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8A3-49FF-9C2A-A2C81C7CBD9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8A3-49FF-9C2A-A2C81C7CBD9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8A3-49FF-9C2A-A2C81C7CBD9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8A3-49FF-9C2A-A2C81C7CBD91}"/>
              </c:ext>
            </c:extLst>
          </c:dPt>
          <c:cat>
            <c:strRef>
              <c:f>'Pernoctaciones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TF'!$N$119:$N$131</c:f>
              <c:numCache>
                <c:formatCode>0.0%</c:formatCode>
                <c:ptCount val="13"/>
                <c:pt idx="0">
                  <c:v>-8.6486486486486491E-2</c:v>
                </c:pt>
                <c:pt idx="1">
                  <c:v>-0.15812379110251451</c:v>
                </c:pt>
                <c:pt idx="2">
                  <c:v>-0.34074074074074079</c:v>
                </c:pt>
                <c:pt idx="3">
                  <c:v>-0.52719361856417701</c:v>
                </c:pt>
                <c:pt idx="4">
                  <c:v>-0.34153005464480879</c:v>
                </c:pt>
                <c:pt idx="5">
                  <c:v>-4.0339702760084917E-2</c:v>
                </c:pt>
                <c:pt idx="6">
                  <c:v>0</c:v>
                </c:pt>
                <c:pt idx="7">
                  <c:v>-0.39160839160839156</c:v>
                </c:pt>
                <c:pt idx="8">
                  <c:v>-7.899807321772645E-2</c:v>
                </c:pt>
                <c:pt idx="9">
                  <c:v>-9.0588235294117636E-2</c:v>
                </c:pt>
                <c:pt idx="12">
                  <c:v>-0.23518625747925115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8A3-49FF-9C2A-A2C81C7CB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F5-422D-87FA-7BBB127CD358}"/>
              </c:ext>
            </c:extLst>
          </c:dPt>
          <c:val>
            <c:numRef>
              <c:f>'Pernoctaciones evol mensu TF'!$I$141:$I$153</c:f>
              <c:numCache>
                <c:formatCode>#,##0</c:formatCode>
                <c:ptCount val="13"/>
                <c:pt idx="0">
                  <c:v>2687</c:v>
                </c:pt>
                <c:pt idx="1">
                  <c:v>2836</c:v>
                </c:pt>
                <c:pt idx="2">
                  <c:v>2988</c:v>
                </c:pt>
                <c:pt idx="3">
                  <c:v>2380</c:v>
                </c:pt>
                <c:pt idx="4">
                  <c:v>1273</c:v>
                </c:pt>
                <c:pt idx="5">
                  <c:v>831</c:v>
                </c:pt>
                <c:pt idx="6">
                  <c:v>427</c:v>
                </c:pt>
                <c:pt idx="7">
                  <c:v>1227</c:v>
                </c:pt>
                <c:pt idx="8">
                  <c:v>1288</c:v>
                </c:pt>
                <c:pt idx="9">
                  <c:v>1758</c:v>
                </c:pt>
                <c:pt idx="10">
                  <c:v>2908</c:v>
                </c:pt>
                <c:pt idx="11">
                  <c:v>2036</c:v>
                </c:pt>
                <c:pt idx="12">
                  <c:v>22639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F5-422D-87FA-7BBB127CD358}"/>
            </c:ext>
          </c:extLst>
        </c:ser>
        <c:ser>
          <c:idx val="0"/>
          <c:order val="2"/>
          <c:tx>
            <c:strRef>
              <c:f>'Pernoctaciones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8F5-422D-87FA-7BBB127CD35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TF'!$K$141:$K$153</c:f>
              <c:numCache>
                <c:formatCode>#,##0</c:formatCode>
                <c:ptCount val="13"/>
                <c:pt idx="0">
                  <c:v>3551</c:v>
                </c:pt>
                <c:pt idx="1">
                  <c:v>3116</c:v>
                </c:pt>
                <c:pt idx="2">
                  <c:v>3366</c:v>
                </c:pt>
                <c:pt idx="3">
                  <c:v>2313</c:v>
                </c:pt>
                <c:pt idx="4">
                  <c:v>1592</c:v>
                </c:pt>
                <c:pt idx="5">
                  <c:v>1011</c:v>
                </c:pt>
                <c:pt idx="6">
                  <c:v>454</c:v>
                </c:pt>
                <c:pt idx="7">
                  <c:v>1129</c:v>
                </c:pt>
                <c:pt idx="8">
                  <c:v>1311</c:v>
                </c:pt>
                <c:pt idx="9">
                  <c:v>1824</c:v>
                </c:pt>
                <c:pt idx="10">
                  <c:v>2912</c:v>
                </c:pt>
                <c:pt idx="11">
                  <c:v>2476</c:v>
                </c:pt>
                <c:pt idx="12">
                  <c:v>25055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F5-422D-87FA-7BBB127CD358}"/>
            </c:ext>
          </c:extLst>
        </c:ser>
        <c:ser>
          <c:idx val="1"/>
          <c:order val="3"/>
          <c:tx>
            <c:strRef>
              <c:f>'Pernoctaciones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8F5-422D-87FA-7BBB127CD35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8F5-422D-87FA-7BBB127CD35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TF'!$M$141:$M$153</c:f>
              <c:numCache>
                <c:formatCode>#,##0</c:formatCode>
                <c:ptCount val="13"/>
                <c:pt idx="0">
                  <c:v>2661</c:v>
                </c:pt>
                <c:pt idx="1">
                  <c:v>3261</c:v>
                </c:pt>
                <c:pt idx="2">
                  <c:v>3312</c:v>
                </c:pt>
                <c:pt idx="3">
                  <c:v>1873</c:v>
                </c:pt>
                <c:pt idx="4">
                  <c:v>1415</c:v>
                </c:pt>
                <c:pt idx="5">
                  <c:v>965</c:v>
                </c:pt>
                <c:pt idx="6">
                  <c:v>390</c:v>
                </c:pt>
                <c:pt idx="7">
                  <c:v>915</c:v>
                </c:pt>
                <c:pt idx="8">
                  <c:v>1165</c:v>
                </c:pt>
                <c:pt idx="9">
                  <c:v>1932</c:v>
                </c:pt>
                <c:pt idx="12">
                  <c:v>17889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8F5-422D-87FA-7BBB127CD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8F5-422D-87FA-7BBB127CD35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2551</c:v>
                      </c:pt>
                      <c:pt idx="1">
                        <c:v>2540</c:v>
                      </c:pt>
                      <c:pt idx="2">
                        <c:v>1376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307</c:v>
                      </c:pt>
                      <c:pt idx="8">
                        <c:v>72</c:v>
                      </c:pt>
                      <c:pt idx="9">
                        <c:v>122</c:v>
                      </c:pt>
                      <c:pt idx="10">
                        <c:v>210</c:v>
                      </c:pt>
                      <c:pt idx="11">
                        <c:v>199</c:v>
                      </c:pt>
                      <c:pt idx="12">
                        <c:v>7473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8F5-422D-87FA-7BBB127CD35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8F5-422D-87FA-7BBB127CD35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8F5-422D-87FA-7BBB127CD35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8F5-422D-87FA-7BBB127CD35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8F5-422D-87FA-7BBB127CD35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8F5-422D-87FA-7BBB127CD35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8F5-422D-87FA-7BBB127CD35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8F5-422D-87FA-7BBB127CD35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8F5-422D-87FA-7BBB127CD35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8F5-422D-87FA-7BBB127CD35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8F5-422D-87FA-7BBB127CD35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8F5-422D-87FA-7BBB127CD35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8F5-422D-87FA-7BBB127CD35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8F5-422D-87FA-7BBB127CD358}"/>
              </c:ext>
            </c:extLst>
          </c:dPt>
          <c:cat>
            <c:strRef>
              <c:f>'Pernoctaciones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TF'!$N$141:$N$153</c:f>
              <c:numCache>
                <c:formatCode>0.0%</c:formatCode>
                <c:ptCount val="13"/>
                <c:pt idx="0">
                  <c:v>-0.25063362433117431</c:v>
                </c:pt>
                <c:pt idx="1">
                  <c:v>4.6534017971758601E-2</c:v>
                </c:pt>
                <c:pt idx="2">
                  <c:v>-1.6042780748663055E-2</c:v>
                </c:pt>
                <c:pt idx="3">
                  <c:v>-0.19022913964548205</c:v>
                </c:pt>
                <c:pt idx="4">
                  <c:v>-0.11118090452261309</c:v>
                </c:pt>
                <c:pt idx="5">
                  <c:v>-4.5499505440158239E-2</c:v>
                </c:pt>
                <c:pt idx="6">
                  <c:v>-0.1409691629955947</c:v>
                </c:pt>
                <c:pt idx="7">
                  <c:v>-0.18954827280779452</c:v>
                </c:pt>
                <c:pt idx="8">
                  <c:v>-0.11136536994660562</c:v>
                </c:pt>
                <c:pt idx="9">
                  <c:v>5.921052631578938E-2</c:v>
                </c:pt>
                <c:pt idx="12">
                  <c:v>-9.0405247368688713E-2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8F5-422D-87FA-7BBB127CD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0D-409E-B26C-FFD97842922C}"/>
              </c:ext>
            </c:extLst>
          </c:dPt>
          <c:val>
            <c:numRef>
              <c:f>'Pernoctaciones evol mensu TF'!$I$163:$I$175</c:f>
              <c:numCache>
                <c:formatCode>#,##0</c:formatCode>
                <c:ptCount val="13"/>
                <c:pt idx="0">
                  <c:v>1006</c:v>
                </c:pt>
                <c:pt idx="1">
                  <c:v>1019</c:v>
                </c:pt>
                <c:pt idx="2">
                  <c:v>1138</c:v>
                </c:pt>
                <c:pt idx="3">
                  <c:v>650</c:v>
                </c:pt>
                <c:pt idx="4">
                  <c:v>732</c:v>
                </c:pt>
                <c:pt idx="5">
                  <c:v>374</c:v>
                </c:pt>
                <c:pt idx="6">
                  <c:v>379</c:v>
                </c:pt>
                <c:pt idx="7">
                  <c:v>734</c:v>
                </c:pt>
                <c:pt idx="8">
                  <c:v>486</c:v>
                </c:pt>
                <c:pt idx="9">
                  <c:v>565</c:v>
                </c:pt>
                <c:pt idx="10">
                  <c:v>1140</c:v>
                </c:pt>
                <c:pt idx="11">
                  <c:v>679</c:v>
                </c:pt>
                <c:pt idx="12">
                  <c:v>8902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0D-409E-B26C-FFD97842922C}"/>
            </c:ext>
          </c:extLst>
        </c:ser>
        <c:ser>
          <c:idx val="0"/>
          <c:order val="2"/>
          <c:tx>
            <c:strRef>
              <c:f>'Pernoctaciones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80D-409E-B26C-FFD97842922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TF'!$K$163:$K$175</c:f>
              <c:numCache>
                <c:formatCode>#,##0</c:formatCode>
                <c:ptCount val="13"/>
                <c:pt idx="0">
                  <c:v>991</c:v>
                </c:pt>
                <c:pt idx="1">
                  <c:v>1220</c:v>
                </c:pt>
                <c:pt idx="2">
                  <c:v>1305</c:v>
                </c:pt>
                <c:pt idx="3">
                  <c:v>832</c:v>
                </c:pt>
                <c:pt idx="4">
                  <c:v>862</c:v>
                </c:pt>
                <c:pt idx="5">
                  <c:v>426</c:v>
                </c:pt>
                <c:pt idx="6">
                  <c:v>596</c:v>
                </c:pt>
                <c:pt idx="7">
                  <c:v>989</c:v>
                </c:pt>
                <c:pt idx="8">
                  <c:v>421</c:v>
                </c:pt>
                <c:pt idx="9">
                  <c:v>622</c:v>
                </c:pt>
                <c:pt idx="10">
                  <c:v>772</c:v>
                </c:pt>
                <c:pt idx="11">
                  <c:v>714</c:v>
                </c:pt>
                <c:pt idx="12">
                  <c:v>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0D-409E-B26C-FFD97842922C}"/>
            </c:ext>
          </c:extLst>
        </c:ser>
        <c:ser>
          <c:idx val="1"/>
          <c:order val="3"/>
          <c:tx>
            <c:strRef>
              <c:f>'Pernoctaciones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80D-409E-B26C-FFD97842922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80D-409E-B26C-FFD97842922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TF'!$M$163:$M$175</c:f>
              <c:numCache>
                <c:formatCode>#,##0</c:formatCode>
                <c:ptCount val="13"/>
                <c:pt idx="0">
                  <c:v>1041</c:v>
                </c:pt>
                <c:pt idx="1">
                  <c:v>1002</c:v>
                </c:pt>
                <c:pt idx="2">
                  <c:v>1267</c:v>
                </c:pt>
                <c:pt idx="3">
                  <c:v>686</c:v>
                </c:pt>
                <c:pt idx="4">
                  <c:v>787</c:v>
                </c:pt>
                <c:pt idx="5">
                  <c:v>397</c:v>
                </c:pt>
                <c:pt idx="6">
                  <c:v>405</c:v>
                </c:pt>
                <c:pt idx="7">
                  <c:v>1043</c:v>
                </c:pt>
                <c:pt idx="8">
                  <c:v>610</c:v>
                </c:pt>
                <c:pt idx="9">
                  <c:v>699</c:v>
                </c:pt>
                <c:pt idx="12">
                  <c:v>7937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0D-409E-B26C-FFD978429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80D-409E-B26C-FFD97842922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944</c:v>
                      </c:pt>
                      <c:pt idx="1">
                        <c:v>1207</c:v>
                      </c:pt>
                      <c:pt idx="2">
                        <c:v>505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912</c:v>
                      </c:pt>
                      <c:pt idx="8">
                        <c:v>104</c:v>
                      </c:pt>
                      <c:pt idx="9">
                        <c:v>266</c:v>
                      </c:pt>
                      <c:pt idx="10">
                        <c:v>143</c:v>
                      </c:pt>
                      <c:pt idx="11">
                        <c:v>445</c:v>
                      </c:pt>
                      <c:pt idx="12">
                        <c:v>4658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80D-409E-B26C-FFD97842922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80D-409E-B26C-FFD97842922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80D-409E-B26C-FFD97842922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80D-409E-B26C-FFD97842922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80D-409E-B26C-FFD97842922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80D-409E-B26C-FFD97842922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80D-409E-B26C-FFD97842922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80D-409E-B26C-FFD97842922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80D-409E-B26C-FFD97842922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80D-409E-B26C-FFD97842922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80D-409E-B26C-FFD97842922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80D-409E-B26C-FFD97842922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80D-409E-B26C-FFD97842922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80D-409E-B26C-FFD97842922C}"/>
              </c:ext>
            </c:extLst>
          </c:dPt>
          <c:cat>
            <c:strRef>
              <c:f>'Pernoctaciones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TF'!$N$163:$N$175</c:f>
              <c:numCache>
                <c:formatCode>0.0%</c:formatCode>
                <c:ptCount val="13"/>
                <c:pt idx="0">
                  <c:v>5.045408678102925E-2</c:v>
                </c:pt>
                <c:pt idx="1">
                  <c:v>-0.17868852459016393</c:v>
                </c:pt>
                <c:pt idx="2">
                  <c:v>-2.9118773946360199E-2</c:v>
                </c:pt>
                <c:pt idx="3">
                  <c:v>-0.17548076923076927</c:v>
                </c:pt>
                <c:pt idx="4">
                  <c:v>-8.7006960556844537E-2</c:v>
                </c:pt>
                <c:pt idx="5">
                  <c:v>-6.8075117370892002E-2</c:v>
                </c:pt>
                <c:pt idx="6">
                  <c:v>-0.32046979865771807</c:v>
                </c:pt>
                <c:pt idx="7">
                  <c:v>5.4600606673407492E-2</c:v>
                </c:pt>
                <c:pt idx="8">
                  <c:v>0.44893111638954863</c:v>
                </c:pt>
                <c:pt idx="9">
                  <c:v>0.1237942122186495</c:v>
                </c:pt>
                <c:pt idx="12">
                  <c:v>-3.9569215876089081E-2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80D-409E-B26C-FFD978429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2A-4BB1-BA70-2CC84F4EFBCD}"/>
              </c:ext>
            </c:extLst>
          </c:dPt>
          <c:val>
            <c:numRef>
              <c:f>'Pernoctaciones evol mensu TF'!$I$185:$I$197</c:f>
              <c:numCache>
                <c:formatCode>#,##0</c:formatCode>
                <c:ptCount val="13"/>
                <c:pt idx="0">
                  <c:v>204</c:v>
                </c:pt>
                <c:pt idx="1">
                  <c:v>99</c:v>
                </c:pt>
                <c:pt idx="2">
                  <c:v>302</c:v>
                </c:pt>
                <c:pt idx="3">
                  <c:v>114</c:v>
                </c:pt>
                <c:pt idx="4">
                  <c:v>83</c:v>
                </c:pt>
                <c:pt idx="5">
                  <c:v>73</c:v>
                </c:pt>
                <c:pt idx="6">
                  <c:v>111</c:v>
                </c:pt>
                <c:pt idx="7">
                  <c:v>117</c:v>
                </c:pt>
                <c:pt idx="8">
                  <c:v>120</c:v>
                </c:pt>
                <c:pt idx="9">
                  <c:v>116</c:v>
                </c:pt>
                <c:pt idx="10">
                  <c:v>311</c:v>
                </c:pt>
                <c:pt idx="11">
                  <c:v>162</c:v>
                </c:pt>
                <c:pt idx="12">
                  <c:v>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2A-4BB1-BA70-2CC84F4EFBCD}"/>
            </c:ext>
          </c:extLst>
        </c:ser>
        <c:ser>
          <c:idx val="0"/>
          <c:order val="2"/>
          <c:tx>
            <c:strRef>
              <c:f>'Pernoctaciones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92A-4BB1-BA70-2CC84F4EFBC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TF'!$K$185:$K$197</c:f>
              <c:numCache>
                <c:formatCode>#,##0</c:formatCode>
                <c:ptCount val="13"/>
                <c:pt idx="0">
                  <c:v>391</c:v>
                </c:pt>
                <c:pt idx="1">
                  <c:v>311</c:v>
                </c:pt>
                <c:pt idx="2">
                  <c:v>283</c:v>
                </c:pt>
                <c:pt idx="3">
                  <c:v>234</c:v>
                </c:pt>
                <c:pt idx="4">
                  <c:v>66</c:v>
                </c:pt>
                <c:pt idx="5">
                  <c:v>55</c:v>
                </c:pt>
                <c:pt idx="6">
                  <c:v>59</c:v>
                </c:pt>
                <c:pt idx="7">
                  <c:v>136</c:v>
                </c:pt>
                <c:pt idx="8">
                  <c:v>158</c:v>
                </c:pt>
                <c:pt idx="9">
                  <c:v>156</c:v>
                </c:pt>
                <c:pt idx="10">
                  <c:v>161</c:v>
                </c:pt>
                <c:pt idx="11">
                  <c:v>348</c:v>
                </c:pt>
                <c:pt idx="12">
                  <c:v>2358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2A-4BB1-BA70-2CC84F4EFBCD}"/>
            </c:ext>
          </c:extLst>
        </c:ser>
        <c:ser>
          <c:idx val="1"/>
          <c:order val="3"/>
          <c:tx>
            <c:strRef>
              <c:f>'Pernoctaciones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92A-4BB1-BA70-2CC84F4EFBC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92A-4BB1-BA70-2CC84F4EFBC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TF'!$M$185:$M$197</c:f>
              <c:numCache>
                <c:formatCode>#,##0</c:formatCode>
                <c:ptCount val="13"/>
                <c:pt idx="0">
                  <c:v>363</c:v>
                </c:pt>
                <c:pt idx="1">
                  <c:v>340</c:v>
                </c:pt>
                <c:pt idx="2">
                  <c:v>336</c:v>
                </c:pt>
                <c:pt idx="3">
                  <c:v>313</c:v>
                </c:pt>
                <c:pt idx="4">
                  <c:v>152</c:v>
                </c:pt>
                <c:pt idx="5">
                  <c:v>105</c:v>
                </c:pt>
                <c:pt idx="6">
                  <c:v>178</c:v>
                </c:pt>
                <c:pt idx="7">
                  <c:v>157</c:v>
                </c:pt>
                <c:pt idx="8">
                  <c:v>143</c:v>
                </c:pt>
                <c:pt idx="9">
                  <c:v>211</c:v>
                </c:pt>
                <c:pt idx="12">
                  <c:v>2298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92A-4BB1-BA70-2CC84F4EF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92A-4BB1-BA70-2CC84F4EFBC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171</c:v>
                      </c:pt>
                      <c:pt idx="1">
                        <c:v>80</c:v>
                      </c:pt>
                      <c:pt idx="2">
                        <c:v>43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120</c:v>
                      </c:pt>
                      <c:pt idx="8">
                        <c:v>86</c:v>
                      </c:pt>
                      <c:pt idx="9">
                        <c:v>74</c:v>
                      </c:pt>
                      <c:pt idx="10">
                        <c:v>125</c:v>
                      </c:pt>
                      <c:pt idx="11">
                        <c:v>36</c:v>
                      </c:pt>
                      <c:pt idx="12">
                        <c:v>788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92A-4BB1-BA70-2CC84F4EFBC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92A-4BB1-BA70-2CC84F4EFBC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92A-4BB1-BA70-2CC84F4EFBC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92A-4BB1-BA70-2CC84F4EFBC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92A-4BB1-BA70-2CC84F4EFBC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92A-4BB1-BA70-2CC84F4EFBC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92A-4BB1-BA70-2CC84F4EFBC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92A-4BB1-BA70-2CC84F4EFBC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92A-4BB1-BA70-2CC84F4EFBC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92A-4BB1-BA70-2CC84F4EFBC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92A-4BB1-BA70-2CC84F4EFBC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92A-4BB1-BA70-2CC84F4EFBC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92A-4BB1-BA70-2CC84F4EFBC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92A-4BB1-BA70-2CC84F4EFBCD}"/>
              </c:ext>
            </c:extLst>
          </c:dPt>
          <c:cat>
            <c:strRef>
              <c:f>'Pernoctaciones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TF'!$N$185:$N$197</c:f>
              <c:numCache>
                <c:formatCode>0.0%</c:formatCode>
                <c:ptCount val="13"/>
                <c:pt idx="0">
                  <c:v>-7.1611253196930957E-2</c:v>
                </c:pt>
                <c:pt idx="1">
                  <c:v>9.3247588424437255E-2</c:v>
                </c:pt>
                <c:pt idx="2">
                  <c:v>0.1872791519434629</c:v>
                </c:pt>
                <c:pt idx="3">
                  <c:v>0.33760683760683752</c:v>
                </c:pt>
                <c:pt idx="4">
                  <c:v>1.3030303030303032</c:v>
                </c:pt>
                <c:pt idx="5">
                  <c:v>0.90909090909090917</c:v>
                </c:pt>
                <c:pt idx="6">
                  <c:v>2.0169491525423728</c:v>
                </c:pt>
                <c:pt idx="7">
                  <c:v>0.15441176470588225</c:v>
                </c:pt>
                <c:pt idx="8">
                  <c:v>-9.4936708860759444E-2</c:v>
                </c:pt>
                <c:pt idx="9">
                  <c:v>0.35256410256410264</c:v>
                </c:pt>
                <c:pt idx="12">
                  <c:v>0.24283396430502968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92A-4BB1-BA70-2CC84F4EF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607-4F86-B8D3-4619ED38F282}"/>
              </c:ext>
            </c:extLst>
          </c:dPt>
          <c:val>
            <c:numRef>
              <c:f>'Pernoctaciones evol mensu TF'!$I$207:$I$219</c:f>
              <c:numCache>
                <c:formatCode>#,##0</c:formatCode>
                <c:ptCount val="13"/>
                <c:pt idx="0">
                  <c:v>587</c:v>
                </c:pt>
                <c:pt idx="1">
                  <c:v>398</c:v>
                </c:pt>
                <c:pt idx="2">
                  <c:v>596</c:v>
                </c:pt>
                <c:pt idx="3">
                  <c:v>239</c:v>
                </c:pt>
                <c:pt idx="4">
                  <c:v>200</c:v>
                </c:pt>
                <c:pt idx="5">
                  <c:v>127</c:v>
                </c:pt>
                <c:pt idx="6">
                  <c:v>176</c:v>
                </c:pt>
                <c:pt idx="7">
                  <c:v>153</c:v>
                </c:pt>
                <c:pt idx="8">
                  <c:v>194</c:v>
                </c:pt>
                <c:pt idx="9">
                  <c:v>266</c:v>
                </c:pt>
                <c:pt idx="10">
                  <c:v>322</c:v>
                </c:pt>
                <c:pt idx="11">
                  <c:v>365</c:v>
                </c:pt>
                <c:pt idx="12">
                  <c:v>3623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07-4F86-B8D3-4619ED38F282}"/>
            </c:ext>
          </c:extLst>
        </c:ser>
        <c:ser>
          <c:idx val="0"/>
          <c:order val="2"/>
          <c:tx>
            <c:strRef>
              <c:f>'Pernoctaciones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607-4F86-B8D3-4619ED38F28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TF'!$K$207:$K$219</c:f>
              <c:numCache>
                <c:formatCode>#,##0</c:formatCode>
                <c:ptCount val="13"/>
                <c:pt idx="0">
                  <c:v>618</c:v>
                </c:pt>
                <c:pt idx="1">
                  <c:v>524</c:v>
                </c:pt>
                <c:pt idx="2">
                  <c:v>525</c:v>
                </c:pt>
                <c:pt idx="3">
                  <c:v>478</c:v>
                </c:pt>
                <c:pt idx="4">
                  <c:v>229</c:v>
                </c:pt>
                <c:pt idx="5">
                  <c:v>314</c:v>
                </c:pt>
                <c:pt idx="6">
                  <c:v>134</c:v>
                </c:pt>
                <c:pt idx="7">
                  <c:v>219</c:v>
                </c:pt>
                <c:pt idx="8">
                  <c:v>121</c:v>
                </c:pt>
                <c:pt idx="9">
                  <c:v>155</c:v>
                </c:pt>
                <c:pt idx="10">
                  <c:v>268</c:v>
                </c:pt>
                <c:pt idx="11">
                  <c:v>215</c:v>
                </c:pt>
                <c:pt idx="12">
                  <c:v>3800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07-4F86-B8D3-4619ED38F282}"/>
            </c:ext>
          </c:extLst>
        </c:ser>
        <c:ser>
          <c:idx val="1"/>
          <c:order val="3"/>
          <c:tx>
            <c:strRef>
              <c:f>'Pernoctaciones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607-4F86-B8D3-4619ED38F28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607-4F86-B8D3-4619ED38F28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TF'!$M$207:$M$219</c:f>
              <c:numCache>
                <c:formatCode>#,##0</c:formatCode>
                <c:ptCount val="13"/>
                <c:pt idx="0">
                  <c:v>486</c:v>
                </c:pt>
                <c:pt idx="1">
                  <c:v>402</c:v>
                </c:pt>
                <c:pt idx="2">
                  <c:v>329</c:v>
                </c:pt>
                <c:pt idx="3">
                  <c:v>141</c:v>
                </c:pt>
                <c:pt idx="4">
                  <c:v>274</c:v>
                </c:pt>
                <c:pt idx="5">
                  <c:v>155</c:v>
                </c:pt>
                <c:pt idx="6">
                  <c:v>130</c:v>
                </c:pt>
                <c:pt idx="7">
                  <c:v>98</c:v>
                </c:pt>
                <c:pt idx="8">
                  <c:v>95</c:v>
                </c:pt>
                <c:pt idx="9">
                  <c:v>181</c:v>
                </c:pt>
                <c:pt idx="12">
                  <c:v>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607-4F86-B8D3-4619ED38F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607-4F86-B8D3-4619ED38F28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207</c:v>
                      </c:pt>
                      <c:pt idx="1">
                        <c:v>537</c:v>
                      </c:pt>
                      <c:pt idx="2">
                        <c:v>95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19</c:v>
                      </c:pt>
                      <c:pt idx="8">
                        <c:v>6</c:v>
                      </c:pt>
                      <c:pt idx="9">
                        <c:v>5</c:v>
                      </c:pt>
                      <c:pt idx="10">
                        <c:v>24</c:v>
                      </c:pt>
                      <c:pt idx="11">
                        <c:v>14</c:v>
                      </c:pt>
                      <c:pt idx="12">
                        <c:v>940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607-4F86-B8D3-4619ED38F28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607-4F86-B8D3-4619ED38F28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607-4F86-B8D3-4619ED38F28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607-4F86-B8D3-4619ED38F28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607-4F86-B8D3-4619ED38F28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607-4F86-B8D3-4619ED38F28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607-4F86-B8D3-4619ED38F28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607-4F86-B8D3-4619ED38F28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607-4F86-B8D3-4619ED38F28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607-4F86-B8D3-4619ED38F28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607-4F86-B8D3-4619ED38F28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607-4F86-B8D3-4619ED38F28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607-4F86-B8D3-4619ED38F28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607-4F86-B8D3-4619ED38F282}"/>
              </c:ext>
            </c:extLst>
          </c:dPt>
          <c:cat>
            <c:strRef>
              <c:f>'Pernoctaciones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TF'!$N$207:$N$219</c:f>
              <c:numCache>
                <c:formatCode>0.0%</c:formatCode>
                <c:ptCount val="13"/>
                <c:pt idx="0">
                  <c:v>-0.21359223300970875</c:v>
                </c:pt>
                <c:pt idx="1">
                  <c:v>-0.23282442748091603</c:v>
                </c:pt>
                <c:pt idx="2">
                  <c:v>-0.37333333333333329</c:v>
                </c:pt>
                <c:pt idx="3">
                  <c:v>-0.70502092050209209</c:v>
                </c:pt>
                <c:pt idx="4">
                  <c:v>0.19650655021834051</c:v>
                </c:pt>
                <c:pt idx="5">
                  <c:v>-0.50636942675159236</c:v>
                </c:pt>
                <c:pt idx="6">
                  <c:v>-2.9850746268656692E-2</c:v>
                </c:pt>
                <c:pt idx="7">
                  <c:v>-0.55251141552511418</c:v>
                </c:pt>
                <c:pt idx="8">
                  <c:v>-0.21487603305785119</c:v>
                </c:pt>
                <c:pt idx="9">
                  <c:v>0.16774193548387095</c:v>
                </c:pt>
                <c:pt idx="12">
                  <c:v>-0.3093156466686765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607-4F86-B8D3-4619ED38F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A9-4E7E-B88F-3BA0ACE9B3DF}"/>
              </c:ext>
            </c:extLst>
          </c:dPt>
          <c:val>
            <c:numRef>
              <c:f>'Pernoctaciones evol mensu TF'!$I$229:$I$241</c:f>
              <c:numCache>
                <c:formatCode>#,##0</c:formatCode>
                <c:ptCount val="13"/>
                <c:pt idx="0">
                  <c:v>130</c:v>
                </c:pt>
                <c:pt idx="1">
                  <c:v>31</c:v>
                </c:pt>
                <c:pt idx="2">
                  <c:v>28</c:v>
                </c:pt>
                <c:pt idx="3">
                  <c:v>42</c:v>
                </c:pt>
                <c:pt idx="4">
                  <c:v>10</c:v>
                </c:pt>
                <c:pt idx="5">
                  <c:v>2</c:v>
                </c:pt>
                <c:pt idx="6">
                  <c:v>35</c:v>
                </c:pt>
                <c:pt idx="7">
                  <c:v>6</c:v>
                </c:pt>
                <c:pt idx="8">
                  <c:v>14</c:v>
                </c:pt>
                <c:pt idx="9">
                  <c:v>6</c:v>
                </c:pt>
                <c:pt idx="10">
                  <c:v>82</c:v>
                </c:pt>
                <c:pt idx="11">
                  <c:v>34</c:v>
                </c:pt>
                <c:pt idx="12">
                  <c:v>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A9-4E7E-B88F-3BA0ACE9B3DF}"/>
            </c:ext>
          </c:extLst>
        </c:ser>
        <c:ser>
          <c:idx val="0"/>
          <c:order val="2"/>
          <c:tx>
            <c:strRef>
              <c:f>'Pernoctaciones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1A9-4E7E-B88F-3BA0ACE9B3D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TF'!$K$229:$K$241</c:f>
              <c:numCache>
                <c:formatCode>#,##0</c:formatCode>
                <c:ptCount val="13"/>
                <c:pt idx="0">
                  <c:v>167</c:v>
                </c:pt>
                <c:pt idx="1">
                  <c:v>140</c:v>
                </c:pt>
                <c:pt idx="2">
                  <c:v>62</c:v>
                </c:pt>
                <c:pt idx="3">
                  <c:v>2</c:v>
                </c:pt>
                <c:pt idx="4">
                  <c:v>0</c:v>
                </c:pt>
                <c:pt idx="5">
                  <c:v>176</c:v>
                </c:pt>
                <c:pt idx="6">
                  <c:v>45</c:v>
                </c:pt>
                <c:pt idx="7">
                  <c:v>4</c:v>
                </c:pt>
                <c:pt idx="8">
                  <c:v>36</c:v>
                </c:pt>
                <c:pt idx="9">
                  <c:v>24</c:v>
                </c:pt>
                <c:pt idx="10">
                  <c:v>116</c:v>
                </c:pt>
                <c:pt idx="11">
                  <c:v>10</c:v>
                </c:pt>
                <c:pt idx="12">
                  <c:v>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A9-4E7E-B88F-3BA0ACE9B3DF}"/>
            </c:ext>
          </c:extLst>
        </c:ser>
        <c:ser>
          <c:idx val="1"/>
          <c:order val="3"/>
          <c:tx>
            <c:strRef>
              <c:f>'Pernoctaciones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A9-4E7E-B88F-3BA0ACE9B3D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A9-4E7E-B88F-3BA0ACE9B3D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TF'!$M$229:$M$241</c:f>
              <c:numCache>
                <c:formatCode>#,##0</c:formatCode>
                <c:ptCount val="13"/>
                <c:pt idx="0">
                  <c:v>68</c:v>
                </c:pt>
                <c:pt idx="1">
                  <c:v>144</c:v>
                </c:pt>
                <c:pt idx="2">
                  <c:v>26</c:v>
                </c:pt>
                <c:pt idx="3">
                  <c:v>44</c:v>
                </c:pt>
                <c:pt idx="4">
                  <c:v>24</c:v>
                </c:pt>
                <c:pt idx="5">
                  <c:v>4</c:v>
                </c:pt>
                <c:pt idx="6">
                  <c:v>45</c:v>
                </c:pt>
                <c:pt idx="7">
                  <c:v>2</c:v>
                </c:pt>
                <c:pt idx="8">
                  <c:v>8</c:v>
                </c:pt>
                <c:pt idx="9">
                  <c:v>22</c:v>
                </c:pt>
                <c:pt idx="12">
                  <c:v>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1A9-4E7E-B88F-3BA0ACE9B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1A9-4E7E-B88F-3BA0ACE9B3D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324</c:v>
                      </c:pt>
                      <c:pt idx="1">
                        <c:v>73</c:v>
                      </c:pt>
                      <c:pt idx="2">
                        <c:v>168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</c:v>
                      </c:pt>
                      <c:pt idx="8">
                        <c:v>2</c:v>
                      </c:pt>
                      <c:pt idx="9">
                        <c:v>0</c:v>
                      </c:pt>
                      <c:pt idx="10">
                        <c:v>18</c:v>
                      </c:pt>
                      <c:pt idx="11">
                        <c:v>2</c:v>
                      </c:pt>
                      <c:pt idx="12">
                        <c:v>599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1A9-4E7E-B88F-3BA0ACE9B3D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1A9-4E7E-B88F-3BA0ACE9B3D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1A9-4E7E-B88F-3BA0ACE9B3D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1A9-4E7E-B88F-3BA0ACE9B3D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1A9-4E7E-B88F-3BA0ACE9B3D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1A9-4E7E-B88F-3BA0ACE9B3D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1A9-4E7E-B88F-3BA0ACE9B3D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1A9-4E7E-B88F-3BA0ACE9B3D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1A9-4E7E-B88F-3BA0ACE9B3D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1A9-4E7E-B88F-3BA0ACE9B3D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1A9-4E7E-B88F-3BA0ACE9B3D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1A9-4E7E-B88F-3BA0ACE9B3D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1A9-4E7E-B88F-3BA0ACE9B3D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1A9-4E7E-B88F-3BA0ACE9B3DF}"/>
              </c:ext>
            </c:extLst>
          </c:dPt>
          <c:cat>
            <c:strRef>
              <c:f>'Pernoctaciones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TF'!$N$229:$N$241</c:f>
              <c:numCache>
                <c:formatCode>0.0%</c:formatCode>
                <c:ptCount val="13"/>
                <c:pt idx="0">
                  <c:v>-0.59281437125748504</c:v>
                </c:pt>
                <c:pt idx="1">
                  <c:v>2.857142857142847E-2</c:v>
                </c:pt>
                <c:pt idx="2">
                  <c:v>-0.58064516129032251</c:v>
                </c:pt>
                <c:pt idx="3">
                  <c:v>21</c:v>
                </c:pt>
                <c:pt idx="4">
                  <c:v>0</c:v>
                </c:pt>
                <c:pt idx="5">
                  <c:v>-0.97727272727272729</c:v>
                </c:pt>
                <c:pt idx="6">
                  <c:v>0</c:v>
                </c:pt>
                <c:pt idx="7">
                  <c:v>-0.5</c:v>
                </c:pt>
                <c:pt idx="8">
                  <c:v>-0.77777777777777779</c:v>
                </c:pt>
                <c:pt idx="9">
                  <c:v>-8.333333333333337E-2</c:v>
                </c:pt>
                <c:pt idx="12">
                  <c:v>-0.41006097560975607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1A9-4E7E-B88F-3BA0ACE9B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6B-4A75-9D33-57081AA41CD4}"/>
              </c:ext>
            </c:extLst>
          </c:dPt>
          <c:val>
            <c:numRef>
              <c:f>'Viajeros entr evol mensu TF'!$I$75:$I$87</c:f>
              <c:numCache>
                <c:formatCode>#,##0</c:formatCode>
                <c:ptCount val="13"/>
                <c:pt idx="0">
                  <c:v>1485</c:v>
                </c:pt>
                <c:pt idx="1">
                  <c:v>489</c:v>
                </c:pt>
                <c:pt idx="2">
                  <c:v>627</c:v>
                </c:pt>
                <c:pt idx="3">
                  <c:v>1179</c:v>
                </c:pt>
                <c:pt idx="4">
                  <c:v>1357</c:v>
                </c:pt>
                <c:pt idx="5">
                  <c:v>818</c:v>
                </c:pt>
                <c:pt idx="6">
                  <c:v>1209</c:v>
                </c:pt>
                <c:pt idx="7">
                  <c:v>1439</c:v>
                </c:pt>
                <c:pt idx="8">
                  <c:v>932</c:v>
                </c:pt>
                <c:pt idx="9">
                  <c:v>661</c:v>
                </c:pt>
                <c:pt idx="10">
                  <c:v>671</c:v>
                </c:pt>
                <c:pt idx="11">
                  <c:v>1157</c:v>
                </c:pt>
                <c:pt idx="12">
                  <c:v>12024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6B-4A75-9D33-57081AA41CD4}"/>
            </c:ext>
          </c:extLst>
        </c:ser>
        <c:ser>
          <c:idx val="0"/>
          <c:order val="2"/>
          <c:tx>
            <c:strRef>
              <c:f>'Viajeros entr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A6B-4A75-9D33-57081AA41CD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TF'!$K$75:$K$87</c:f>
              <c:numCache>
                <c:formatCode>#,##0</c:formatCode>
                <c:ptCount val="13"/>
                <c:pt idx="0">
                  <c:v>732</c:v>
                </c:pt>
                <c:pt idx="1">
                  <c:v>315</c:v>
                </c:pt>
                <c:pt idx="2">
                  <c:v>749</c:v>
                </c:pt>
                <c:pt idx="3">
                  <c:v>719</c:v>
                </c:pt>
                <c:pt idx="4">
                  <c:v>1433</c:v>
                </c:pt>
                <c:pt idx="5">
                  <c:v>716</c:v>
                </c:pt>
                <c:pt idx="6">
                  <c:v>1616</c:v>
                </c:pt>
                <c:pt idx="7">
                  <c:v>176</c:v>
                </c:pt>
                <c:pt idx="8">
                  <c:v>1746</c:v>
                </c:pt>
                <c:pt idx="9">
                  <c:v>965</c:v>
                </c:pt>
                <c:pt idx="10">
                  <c:v>1240</c:v>
                </c:pt>
                <c:pt idx="11">
                  <c:v>1470</c:v>
                </c:pt>
                <c:pt idx="12">
                  <c:v>11877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A6B-4A75-9D33-57081AA41CD4}"/>
            </c:ext>
          </c:extLst>
        </c:ser>
        <c:ser>
          <c:idx val="1"/>
          <c:order val="3"/>
          <c:tx>
            <c:strRef>
              <c:f>'Viajeros entr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A6B-4A75-9D33-57081AA41CD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A6B-4A75-9D33-57081AA41CD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TF'!$M$75:$M$87</c:f>
              <c:numCache>
                <c:formatCode>#,##0</c:formatCode>
                <c:ptCount val="13"/>
                <c:pt idx="0">
                  <c:v>900</c:v>
                </c:pt>
                <c:pt idx="1">
                  <c:v>389</c:v>
                </c:pt>
                <c:pt idx="2">
                  <c:v>836</c:v>
                </c:pt>
                <c:pt idx="3">
                  <c:v>830</c:v>
                </c:pt>
                <c:pt idx="4">
                  <c:v>1417</c:v>
                </c:pt>
                <c:pt idx="5">
                  <c:v>1022</c:v>
                </c:pt>
                <c:pt idx="6">
                  <c:v>818</c:v>
                </c:pt>
                <c:pt idx="7">
                  <c:v>1606</c:v>
                </c:pt>
                <c:pt idx="8">
                  <c:v>1071</c:v>
                </c:pt>
                <c:pt idx="9">
                  <c:v>2021</c:v>
                </c:pt>
                <c:pt idx="12">
                  <c:v>10910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A6B-4A75-9D33-57081AA41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A6B-4A75-9D33-57081AA41CD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1851</c:v>
                      </c:pt>
                      <c:pt idx="1">
                        <c:v>1674</c:v>
                      </c:pt>
                      <c:pt idx="2">
                        <c:v>714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1012</c:v>
                      </c:pt>
                      <c:pt idx="8">
                        <c:v>679</c:v>
                      </c:pt>
                      <c:pt idx="9">
                        <c:v>559</c:v>
                      </c:pt>
                      <c:pt idx="10">
                        <c:v>768</c:v>
                      </c:pt>
                      <c:pt idx="11">
                        <c:v>768</c:v>
                      </c:pt>
                      <c:pt idx="12">
                        <c:v>8684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A6B-4A75-9D33-57081AA41CD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A6B-4A75-9D33-57081AA41CD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A6B-4A75-9D33-57081AA41CD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A6B-4A75-9D33-57081AA41CD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A6B-4A75-9D33-57081AA41CD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A6B-4A75-9D33-57081AA41CD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A6B-4A75-9D33-57081AA41CD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A6B-4A75-9D33-57081AA41CD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A6B-4A75-9D33-57081AA41CD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A6B-4A75-9D33-57081AA41CD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A6B-4A75-9D33-57081AA41CD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A6B-4A75-9D33-57081AA41CD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A6B-4A75-9D33-57081AA41CD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A6B-4A75-9D33-57081AA41CD4}"/>
              </c:ext>
            </c:extLst>
          </c:dPt>
          <c:cat>
            <c:strRef>
              <c:f>'Viajeros entr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TF'!$N$75:$N$87</c:f>
              <c:numCache>
                <c:formatCode>0.0%</c:formatCode>
                <c:ptCount val="13"/>
                <c:pt idx="0">
                  <c:v>0.22950819672131151</c:v>
                </c:pt>
                <c:pt idx="1">
                  <c:v>0.23492063492063497</c:v>
                </c:pt>
                <c:pt idx="2">
                  <c:v>0.11615487316421902</c:v>
                </c:pt>
                <c:pt idx="3">
                  <c:v>0.15438108484005553</c:v>
                </c:pt>
                <c:pt idx="4">
                  <c:v>-1.1165387299371998E-2</c:v>
                </c:pt>
                <c:pt idx="5">
                  <c:v>0.42737430167597767</c:v>
                </c:pt>
                <c:pt idx="6">
                  <c:v>-0.49381188118811881</c:v>
                </c:pt>
                <c:pt idx="7">
                  <c:v>8.125</c:v>
                </c:pt>
                <c:pt idx="8">
                  <c:v>-0.38659793814432986</c:v>
                </c:pt>
                <c:pt idx="9">
                  <c:v>1.0943005181347152</c:v>
                </c:pt>
                <c:pt idx="12">
                  <c:v>0.19013854041671219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A6B-4A75-9D33-57081AA41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TF'!$I$253:$J$253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B1-460F-A7BD-BCDE5C00AB14}"/>
              </c:ext>
            </c:extLst>
          </c:dPt>
          <c:val>
            <c:numRef>
              <c:f>'Pernoctaciones evol mensu TF'!$I$255:$I$267</c:f>
              <c:numCache>
                <c:formatCode>#,##0</c:formatCode>
                <c:ptCount val="13"/>
                <c:pt idx="0">
                  <c:v>236</c:v>
                </c:pt>
                <c:pt idx="1">
                  <c:v>59</c:v>
                </c:pt>
                <c:pt idx="2">
                  <c:v>105</c:v>
                </c:pt>
                <c:pt idx="3">
                  <c:v>66</c:v>
                </c:pt>
                <c:pt idx="4">
                  <c:v>63</c:v>
                </c:pt>
                <c:pt idx="5">
                  <c:v>48</c:v>
                </c:pt>
                <c:pt idx="6">
                  <c:v>29</c:v>
                </c:pt>
                <c:pt idx="7">
                  <c:v>34</c:v>
                </c:pt>
                <c:pt idx="8">
                  <c:v>40</c:v>
                </c:pt>
                <c:pt idx="9">
                  <c:v>26</c:v>
                </c:pt>
                <c:pt idx="10">
                  <c:v>97</c:v>
                </c:pt>
                <c:pt idx="11">
                  <c:v>147</c:v>
                </c:pt>
                <c:pt idx="12">
                  <c:v>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B1-460F-A7BD-BCDE5C00AB14}"/>
            </c:ext>
          </c:extLst>
        </c:ser>
        <c:ser>
          <c:idx val="0"/>
          <c:order val="2"/>
          <c:tx>
            <c:strRef>
              <c:f>'Pernoctaciones evol mensu TF'!$K$253:$L$253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DB1-460F-A7BD-BCDE5C00AB1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TF'!$K$255:$K$267</c:f>
              <c:numCache>
                <c:formatCode>#,##0</c:formatCode>
                <c:ptCount val="13"/>
                <c:pt idx="0">
                  <c:v>448</c:v>
                </c:pt>
                <c:pt idx="1">
                  <c:v>189</c:v>
                </c:pt>
                <c:pt idx="2">
                  <c:v>115</c:v>
                </c:pt>
                <c:pt idx="3">
                  <c:v>64</c:v>
                </c:pt>
                <c:pt idx="4">
                  <c:v>6</c:v>
                </c:pt>
                <c:pt idx="5">
                  <c:v>0</c:v>
                </c:pt>
                <c:pt idx="6">
                  <c:v>2</c:v>
                </c:pt>
                <c:pt idx="7">
                  <c:v>23</c:v>
                </c:pt>
                <c:pt idx="8">
                  <c:v>24</c:v>
                </c:pt>
                <c:pt idx="9">
                  <c:v>122</c:v>
                </c:pt>
                <c:pt idx="10">
                  <c:v>91</c:v>
                </c:pt>
                <c:pt idx="11">
                  <c:v>160</c:v>
                </c:pt>
                <c:pt idx="12">
                  <c:v>1244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B1-460F-A7BD-BCDE5C00AB14}"/>
            </c:ext>
          </c:extLst>
        </c:ser>
        <c:ser>
          <c:idx val="1"/>
          <c:order val="3"/>
          <c:tx>
            <c:strRef>
              <c:f>'Pernoctaciones evol mensu TF'!$M$253:$N$253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DB1-460F-A7BD-BCDE5C00AB1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DB1-460F-A7BD-BCDE5C00AB1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TF'!$M$255:$M$267</c:f>
              <c:numCache>
                <c:formatCode>#,##0</c:formatCode>
                <c:ptCount val="13"/>
                <c:pt idx="0">
                  <c:v>203</c:v>
                </c:pt>
                <c:pt idx="1">
                  <c:v>21</c:v>
                </c:pt>
                <c:pt idx="2">
                  <c:v>104</c:v>
                </c:pt>
                <c:pt idx="3">
                  <c:v>23</c:v>
                </c:pt>
                <c:pt idx="4">
                  <c:v>52</c:v>
                </c:pt>
                <c:pt idx="5">
                  <c:v>30</c:v>
                </c:pt>
                <c:pt idx="6">
                  <c:v>20</c:v>
                </c:pt>
                <c:pt idx="7">
                  <c:v>6</c:v>
                </c:pt>
                <c:pt idx="8">
                  <c:v>22</c:v>
                </c:pt>
                <c:pt idx="9">
                  <c:v>69</c:v>
                </c:pt>
                <c:pt idx="12">
                  <c:v>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DB1-460F-A7BD-BCDE5C00A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TF'!$C$253:$D$253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DB1-460F-A7BD-BCDE5C00AB1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TF'!$C$255:$C$267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93</c:v>
                      </c:pt>
                      <c:pt idx="1">
                        <c:v>98</c:v>
                      </c:pt>
                      <c:pt idx="2">
                        <c:v>19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</c:v>
                      </c:pt>
                      <c:pt idx="8">
                        <c:v>6</c:v>
                      </c:pt>
                      <c:pt idx="9">
                        <c:v>6</c:v>
                      </c:pt>
                      <c:pt idx="10">
                        <c:v>20</c:v>
                      </c:pt>
                      <c:pt idx="11">
                        <c:v>10</c:v>
                      </c:pt>
                      <c:pt idx="12">
                        <c:v>259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DB1-460F-A7BD-BCDE5C00AB1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TF'!$N$254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DB1-460F-A7BD-BCDE5C00AB1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DB1-460F-A7BD-BCDE5C00AB1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DB1-460F-A7BD-BCDE5C00AB1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DB1-460F-A7BD-BCDE5C00AB1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DB1-460F-A7BD-BCDE5C00AB1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DB1-460F-A7BD-BCDE5C00AB1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DB1-460F-A7BD-BCDE5C00AB1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DB1-460F-A7BD-BCDE5C00AB1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DB1-460F-A7BD-BCDE5C00AB1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DB1-460F-A7BD-BCDE5C00AB1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DB1-460F-A7BD-BCDE5C00AB1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DB1-460F-A7BD-BCDE5C00AB1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DB1-460F-A7BD-BCDE5C00AB14}"/>
              </c:ext>
            </c:extLst>
          </c:dPt>
          <c:cat>
            <c:strRef>
              <c:f>'Pernoctaciones evol mensu TF'!$B$255:$B$266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TF'!$N$255:$N$267</c:f>
              <c:numCache>
                <c:formatCode>0.0%</c:formatCode>
                <c:ptCount val="13"/>
                <c:pt idx="0">
                  <c:v>-0.546875</c:v>
                </c:pt>
                <c:pt idx="1">
                  <c:v>-0.88888888888888884</c:v>
                </c:pt>
                <c:pt idx="2">
                  <c:v>-9.5652173913043481E-2</c:v>
                </c:pt>
                <c:pt idx="3">
                  <c:v>-0.640625</c:v>
                </c:pt>
                <c:pt idx="4">
                  <c:v>7.6666666666666661</c:v>
                </c:pt>
                <c:pt idx="5">
                  <c:v>0</c:v>
                </c:pt>
                <c:pt idx="6">
                  <c:v>9</c:v>
                </c:pt>
                <c:pt idx="7">
                  <c:v>-0.73913043478260865</c:v>
                </c:pt>
                <c:pt idx="8">
                  <c:v>-8.333333333333337E-2</c:v>
                </c:pt>
                <c:pt idx="9">
                  <c:v>-0.43442622950819676</c:v>
                </c:pt>
                <c:pt idx="12">
                  <c:v>-0.44612286002014101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DB1-460F-A7BD-BCDE5C00A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48-4FA1-B3E2-3D38E851A4CF}"/>
              </c:ext>
            </c:extLst>
          </c:dPt>
          <c:val>
            <c:numRef>
              <c:f>'Pernocta evol mensu TF cat'!$I$9:$I$21</c:f>
              <c:numCache>
                <c:formatCode>#,##0</c:formatCode>
                <c:ptCount val="13"/>
                <c:pt idx="0">
                  <c:v>14353</c:v>
                </c:pt>
                <c:pt idx="1">
                  <c:v>14251</c:v>
                </c:pt>
                <c:pt idx="2">
                  <c:v>15603</c:v>
                </c:pt>
                <c:pt idx="3">
                  <c:v>12703</c:v>
                </c:pt>
                <c:pt idx="4">
                  <c:v>12793</c:v>
                </c:pt>
                <c:pt idx="5">
                  <c:v>10373</c:v>
                </c:pt>
                <c:pt idx="6">
                  <c:v>9594</c:v>
                </c:pt>
                <c:pt idx="7">
                  <c:v>11871</c:v>
                </c:pt>
                <c:pt idx="8">
                  <c:v>10606</c:v>
                </c:pt>
                <c:pt idx="9">
                  <c:v>11107</c:v>
                </c:pt>
                <c:pt idx="10">
                  <c:v>13216</c:v>
                </c:pt>
                <c:pt idx="11">
                  <c:v>11864</c:v>
                </c:pt>
                <c:pt idx="12">
                  <c:v>148334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48-4FA1-B3E2-3D38E851A4CF}"/>
            </c:ext>
          </c:extLst>
        </c:ser>
        <c:ser>
          <c:idx val="0"/>
          <c:order val="2"/>
          <c:tx>
            <c:strRef>
              <c:f>'Pernocta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148-4FA1-B3E2-3D38E851A4CF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cat'!$K$9:$K$21</c:f>
              <c:numCache>
                <c:formatCode>#,##0</c:formatCode>
                <c:ptCount val="13"/>
                <c:pt idx="0">
                  <c:v>14581</c:v>
                </c:pt>
                <c:pt idx="1">
                  <c:v>15138</c:v>
                </c:pt>
                <c:pt idx="2">
                  <c:v>15292</c:v>
                </c:pt>
                <c:pt idx="3">
                  <c:v>13439</c:v>
                </c:pt>
                <c:pt idx="4">
                  <c:v>12513</c:v>
                </c:pt>
                <c:pt idx="5">
                  <c:v>10115</c:v>
                </c:pt>
                <c:pt idx="6">
                  <c:v>10140</c:v>
                </c:pt>
                <c:pt idx="7">
                  <c:v>9259</c:v>
                </c:pt>
                <c:pt idx="8">
                  <c:v>11345</c:v>
                </c:pt>
                <c:pt idx="9">
                  <c:v>12187</c:v>
                </c:pt>
                <c:pt idx="10">
                  <c:v>14972</c:v>
                </c:pt>
                <c:pt idx="11">
                  <c:v>13319</c:v>
                </c:pt>
                <c:pt idx="12">
                  <c:v>152300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48-4FA1-B3E2-3D38E851A4CF}"/>
            </c:ext>
          </c:extLst>
        </c:ser>
        <c:ser>
          <c:idx val="1"/>
          <c:order val="3"/>
          <c:tx>
            <c:strRef>
              <c:f>'Pernocta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148-4FA1-B3E2-3D38E851A4C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148-4FA1-B3E2-3D38E851A4CF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cat'!$M$9:$M$21</c:f>
              <c:numCache>
                <c:formatCode>#,##0</c:formatCode>
                <c:ptCount val="13"/>
                <c:pt idx="0">
                  <c:v>14255</c:v>
                </c:pt>
                <c:pt idx="1">
                  <c:v>13111</c:v>
                </c:pt>
                <c:pt idx="2">
                  <c:v>14094</c:v>
                </c:pt>
                <c:pt idx="3">
                  <c:v>11979</c:v>
                </c:pt>
                <c:pt idx="4">
                  <c:v>13411</c:v>
                </c:pt>
                <c:pt idx="5">
                  <c:v>11658</c:v>
                </c:pt>
                <c:pt idx="6">
                  <c:v>9995</c:v>
                </c:pt>
                <c:pt idx="7">
                  <c:v>11761</c:v>
                </c:pt>
                <c:pt idx="8">
                  <c:v>10902</c:v>
                </c:pt>
                <c:pt idx="9">
                  <c:v>14433</c:v>
                </c:pt>
                <c:pt idx="12">
                  <c:v>125599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148-4FA1-B3E2-3D38E851A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148-4FA1-B3E2-3D38E851A4C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13603</c:v>
                      </c:pt>
                      <c:pt idx="1">
                        <c:v>14342</c:v>
                      </c:pt>
                      <c:pt idx="2">
                        <c:v>5714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6941</c:v>
                      </c:pt>
                      <c:pt idx="8">
                        <c:v>3767</c:v>
                      </c:pt>
                      <c:pt idx="9">
                        <c:v>3603</c:v>
                      </c:pt>
                      <c:pt idx="10">
                        <c:v>3555</c:v>
                      </c:pt>
                      <c:pt idx="11">
                        <c:v>4049</c:v>
                      </c:pt>
                      <c:pt idx="12">
                        <c:v>59047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148-4FA1-B3E2-3D38E851A4C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148-4FA1-B3E2-3D38E851A4C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148-4FA1-B3E2-3D38E851A4C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148-4FA1-B3E2-3D38E851A4C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148-4FA1-B3E2-3D38E851A4C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148-4FA1-B3E2-3D38E851A4C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148-4FA1-B3E2-3D38E851A4C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148-4FA1-B3E2-3D38E851A4C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148-4FA1-B3E2-3D38E851A4C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148-4FA1-B3E2-3D38E851A4C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148-4FA1-B3E2-3D38E851A4C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148-4FA1-B3E2-3D38E851A4C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148-4FA1-B3E2-3D38E851A4C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148-4FA1-B3E2-3D38E851A4CF}"/>
              </c:ext>
            </c:extLst>
          </c:dPt>
          <c:cat>
            <c:strRef>
              <c:f>'Pernocta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cat'!$N$9:$N$21</c:f>
              <c:numCache>
                <c:formatCode>0.0%</c:formatCode>
                <c:ptCount val="13"/>
                <c:pt idx="0">
                  <c:v>-2.2357862972361309E-2</c:v>
                </c:pt>
                <c:pt idx="1">
                  <c:v>-0.1339014400845554</c:v>
                </c:pt>
                <c:pt idx="2">
                  <c:v>-7.834161653151972E-2</c:v>
                </c:pt>
                <c:pt idx="3">
                  <c:v>-0.10863903564253297</c:v>
                </c:pt>
                <c:pt idx="4">
                  <c:v>7.1765364021417755E-2</c:v>
                </c:pt>
                <c:pt idx="5">
                  <c:v>0.15254572417202183</c:v>
                </c:pt>
                <c:pt idx="6">
                  <c:v>-1.429980276134124E-2</c:v>
                </c:pt>
                <c:pt idx="7">
                  <c:v>0.27022356625985533</c:v>
                </c:pt>
                <c:pt idx="8">
                  <c:v>-3.9048038783605077E-2</c:v>
                </c:pt>
                <c:pt idx="9">
                  <c:v>0.18429474029703785</c:v>
                </c:pt>
                <c:pt idx="12">
                  <c:v>1.2821650041529242E-2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148-4FA1-B3E2-3D38E851A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44D-481C-A7F0-10BAADC5A39B}"/>
              </c:ext>
            </c:extLst>
          </c:dPt>
          <c:val>
            <c:numRef>
              <c:f>'Pernocta evol mensu TF cat'!$I$31:$I$43</c:f>
              <c:numCache>
                <c:formatCode>#,##0</c:formatCode>
                <c:ptCount val="13"/>
                <c:pt idx="0">
                  <c:v>14353</c:v>
                </c:pt>
                <c:pt idx="1">
                  <c:v>14251</c:v>
                </c:pt>
                <c:pt idx="2">
                  <c:v>15603</c:v>
                </c:pt>
                <c:pt idx="3">
                  <c:v>12703</c:v>
                </c:pt>
                <c:pt idx="4">
                  <c:v>12793</c:v>
                </c:pt>
                <c:pt idx="5">
                  <c:v>10373</c:v>
                </c:pt>
                <c:pt idx="6">
                  <c:v>9594</c:v>
                </c:pt>
                <c:pt idx="7">
                  <c:v>11871</c:v>
                </c:pt>
                <c:pt idx="8">
                  <c:v>10606</c:v>
                </c:pt>
                <c:pt idx="9">
                  <c:v>11107</c:v>
                </c:pt>
                <c:pt idx="10">
                  <c:v>13216</c:v>
                </c:pt>
                <c:pt idx="11">
                  <c:v>11864</c:v>
                </c:pt>
                <c:pt idx="12">
                  <c:v>148334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4D-481C-A7F0-10BAADC5A39B}"/>
            </c:ext>
          </c:extLst>
        </c:ser>
        <c:ser>
          <c:idx val="0"/>
          <c:order val="2"/>
          <c:tx>
            <c:strRef>
              <c:f>'Pernocta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44D-481C-A7F0-10BAADC5A39B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cat'!$K$31:$K$43</c:f>
              <c:numCache>
                <c:formatCode>#,##0</c:formatCode>
                <c:ptCount val="13"/>
                <c:pt idx="0">
                  <c:v>14581</c:v>
                </c:pt>
                <c:pt idx="1">
                  <c:v>15138</c:v>
                </c:pt>
                <c:pt idx="2">
                  <c:v>15292</c:v>
                </c:pt>
                <c:pt idx="3">
                  <c:v>13439</c:v>
                </c:pt>
                <c:pt idx="4">
                  <c:v>12513</c:v>
                </c:pt>
                <c:pt idx="5">
                  <c:v>10115</c:v>
                </c:pt>
                <c:pt idx="6">
                  <c:v>10140</c:v>
                </c:pt>
                <c:pt idx="7">
                  <c:v>9259</c:v>
                </c:pt>
                <c:pt idx="8">
                  <c:v>11345</c:v>
                </c:pt>
                <c:pt idx="9">
                  <c:v>12187</c:v>
                </c:pt>
                <c:pt idx="10">
                  <c:v>14972</c:v>
                </c:pt>
                <c:pt idx="11">
                  <c:v>13319</c:v>
                </c:pt>
                <c:pt idx="12">
                  <c:v>152300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4D-481C-A7F0-10BAADC5A39B}"/>
            </c:ext>
          </c:extLst>
        </c:ser>
        <c:ser>
          <c:idx val="1"/>
          <c:order val="3"/>
          <c:tx>
            <c:strRef>
              <c:f>'Pernocta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44D-481C-A7F0-10BAADC5A39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44D-481C-A7F0-10BAADC5A39B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cat'!$M$31:$M$43</c:f>
              <c:numCache>
                <c:formatCode>#,##0</c:formatCode>
                <c:ptCount val="13"/>
                <c:pt idx="0">
                  <c:v>14255</c:v>
                </c:pt>
                <c:pt idx="1">
                  <c:v>13111</c:v>
                </c:pt>
                <c:pt idx="2">
                  <c:v>14094</c:v>
                </c:pt>
                <c:pt idx="3">
                  <c:v>11979</c:v>
                </c:pt>
                <c:pt idx="4">
                  <c:v>13411</c:v>
                </c:pt>
                <c:pt idx="5">
                  <c:v>11658</c:v>
                </c:pt>
                <c:pt idx="6">
                  <c:v>9995</c:v>
                </c:pt>
                <c:pt idx="7">
                  <c:v>11761</c:v>
                </c:pt>
                <c:pt idx="8">
                  <c:v>10902</c:v>
                </c:pt>
                <c:pt idx="9">
                  <c:v>14433</c:v>
                </c:pt>
                <c:pt idx="12">
                  <c:v>125599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44D-481C-A7F0-10BAADC5A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44D-481C-A7F0-10BAADC5A39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13603</c:v>
                      </c:pt>
                      <c:pt idx="1">
                        <c:v>14342</c:v>
                      </c:pt>
                      <c:pt idx="2">
                        <c:v>5714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6941</c:v>
                      </c:pt>
                      <c:pt idx="8">
                        <c:v>3767</c:v>
                      </c:pt>
                      <c:pt idx="9">
                        <c:v>3603</c:v>
                      </c:pt>
                      <c:pt idx="10">
                        <c:v>3555</c:v>
                      </c:pt>
                      <c:pt idx="11">
                        <c:v>4049</c:v>
                      </c:pt>
                      <c:pt idx="12">
                        <c:v>59047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44D-481C-A7F0-10BAADC5A39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44D-481C-A7F0-10BAADC5A39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44D-481C-A7F0-10BAADC5A39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44D-481C-A7F0-10BAADC5A39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44D-481C-A7F0-10BAADC5A39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44D-481C-A7F0-10BAADC5A39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44D-481C-A7F0-10BAADC5A39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44D-481C-A7F0-10BAADC5A39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44D-481C-A7F0-10BAADC5A39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44D-481C-A7F0-10BAADC5A39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44D-481C-A7F0-10BAADC5A39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44D-481C-A7F0-10BAADC5A39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44D-481C-A7F0-10BAADC5A39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44D-481C-A7F0-10BAADC5A39B}"/>
              </c:ext>
            </c:extLst>
          </c:dPt>
          <c:cat>
            <c:strRef>
              <c:f>'Pernocta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cat'!$N$31:$N$43</c:f>
              <c:numCache>
                <c:formatCode>0.0%</c:formatCode>
                <c:ptCount val="13"/>
                <c:pt idx="0">
                  <c:v>-2.2357862972361309E-2</c:v>
                </c:pt>
                <c:pt idx="1">
                  <c:v>-0.1339014400845554</c:v>
                </c:pt>
                <c:pt idx="2">
                  <c:v>-7.834161653151972E-2</c:v>
                </c:pt>
                <c:pt idx="3">
                  <c:v>-0.10863903564253297</c:v>
                </c:pt>
                <c:pt idx="4">
                  <c:v>7.1765364021417755E-2</c:v>
                </c:pt>
                <c:pt idx="5">
                  <c:v>0.15254572417202183</c:v>
                </c:pt>
                <c:pt idx="6">
                  <c:v>-1.429980276134124E-2</c:v>
                </c:pt>
                <c:pt idx="7">
                  <c:v>0.27022356625985533</c:v>
                </c:pt>
                <c:pt idx="8">
                  <c:v>-3.9048038783605077E-2</c:v>
                </c:pt>
                <c:pt idx="9">
                  <c:v>0.18429474029703785</c:v>
                </c:pt>
                <c:pt idx="12">
                  <c:v>1.2821650041529242E-2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44D-481C-A7F0-10BAADC5A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A4-411D-B88A-0C39974B929D}"/>
              </c:ext>
            </c:extLst>
          </c:dPt>
          <c:val>
            <c:numRef>
              <c:f>'Pernocta evol mensu TF cat'!$I$53:$I$65</c:f>
              <c:numCache>
                <c:formatCode>#,##0</c:formatCode>
                <c:ptCount val="13"/>
                <c:pt idx="0">
                  <c:v>12972</c:v>
                </c:pt>
                <c:pt idx="1">
                  <c:v>12909</c:v>
                </c:pt>
                <c:pt idx="2">
                  <c:v>14183</c:v>
                </c:pt>
                <c:pt idx="3">
                  <c:v>11501</c:v>
                </c:pt>
                <c:pt idx="4">
                  <c:v>11901</c:v>
                </c:pt>
                <c:pt idx="5">
                  <c:v>9518</c:v>
                </c:pt>
                <c:pt idx="6">
                  <c:v>0</c:v>
                </c:pt>
                <c:pt idx="7">
                  <c:v>0</c:v>
                </c:pt>
                <c:pt idx="8">
                  <c:v>9670</c:v>
                </c:pt>
                <c:pt idx="9">
                  <c:v>9853</c:v>
                </c:pt>
                <c:pt idx="10">
                  <c:v>11701</c:v>
                </c:pt>
                <c:pt idx="11">
                  <c:v>10315</c:v>
                </c:pt>
                <c:pt idx="12">
                  <c:v>134451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A4-411D-B88A-0C39974B929D}"/>
            </c:ext>
          </c:extLst>
        </c:ser>
        <c:ser>
          <c:idx val="0"/>
          <c:order val="2"/>
          <c:tx>
            <c:strRef>
              <c:f>'Pernocta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1A4-411D-B88A-0C39974B929D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cat'!$K$53:$K$65</c:f>
              <c:numCache>
                <c:formatCode>#,##0</c:formatCode>
                <c:ptCount val="13"/>
                <c:pt idx="0">
                  <c:v>13093</c:v>
                </c:pt>
                <c:pt idx="1">
                  <c:v>13468</c:v>
                </c:pt>
                <c:pt idx="2">
                  <c:v>13753</c:v>
                </c:pt>
                <c:pt idx="3">
                  <c:v>12269</c:v>
                </c:pt>
                <c:pt idx="4">
                  <c:v>11514</c:v>
                </c:pt>
                <c:pt idx="5">
                  <c:v>9062</c:v>
                </c:pt>
                <c:pt idx="6">
                  <c:v>8860</c:v>
                </c:pt>
                <c:pt idx="7">
                  <c:v>8826</c:v>
                </c:pt>
                <c:pt idx="8">
                  <c:v>10217</c:v>
                </c:pt>
                <c:pt idx="9">
                  <c:v>10893</c:v>
                </c:pt>
                <c:pt idx="10">
                  <c:v>13338</c:v>
                </c:pt>
                <c:pt idx="11">
                  <c:v>11641</c:v>
                </c:pt>
                <c:pt idx="12">
                  <c:v>136934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A4-411D-B88A-0C39974B929D}"/>
            </c:ext>
          </c:extLst>
        </c:ser>
        <c:ser>
          <c:idx val="1"/>
          <c:order val="3"/>
          <c:tx>
            <c:strRef>
              <c:f>'Pernocta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1A4-411D-B88A-0C39974B929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1A4-411D-B88A-0C39974B929D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cat'!$M$53:$M$65</c:f>
              <c:numCache>
                <c:formatCode>#,##0</c:formatCode>
                <c:ptCount val="13"/>
                <c:pt idx="0">
                  <c:v>12738</c:v>
                </c:pt>
                <c:pt idx="1">
                  <c:v>11624</c:v>
                </c:pt>
                <c:pt idx="2">
                  <c:v>12541</c:v>
                </c:pt>
                <c:pt idx="3">
                  <c:v>10741</c:v>
                </c:pt>
                <c:pt idx="4">
                  <c:v>11973</c:v>
                </c:pt>
                <c:pt idx="5">
                  <c:v>10628</c:v>
                </c:pt>
                <c:pt idx="6">
                  <c:v>8921</c:v>
                </c:pt>
                <c:pt idx="7">
                  <c:v>11198</c:v>
                </c:pt>
                <c:pt idx="8">
                  <c:v>9735</c:v>
                </c:pt>
                <c:pt idx="9">
                  <c:v>12858</c:v>
                </c:pt>
                <c:pt idx="12">
                  <c:v>112957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1A4-411D-B88A-0C39974B9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1A4-411D-B88A-0C39974B929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11286</c:v>
                      </c:pt>
                      <c:pt idx="1">
                        <c:v>11308</c:v>
                      </c:pt>
                      <c:pt idx="2">
                        <c:v>4549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1A4-411D-B88A-0C39974B929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1A4-411D-B88A-0C39974B929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1A4-411D-B88A-0C39974B929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1A4-411D-B88A-0C39974B929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1A4-411D-B88A-0C39974B929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1A4-411D-B88A-0C39974B929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1A4-411D-B88A-0C39974B929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1A4-411D-B88A-0C39974B929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1A4-411D-B88A-0C39974B929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1A4-411D-B88A-0C39974B929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1A4-411D-B88A-0C39974B929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1A4-411D-B88A-0C39974B929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1A4-411D-B88A-0C39974B929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1A4-411D-B88A-0C39974B929D}"/>
              </c:ext>
            </c:extLst>
          </c:dPt>
          <c:cat>
            <c:strRef>
              <c:f>'Pernocta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cat'!$N$53:$N$65</c:f>
              <c:numCache>
                <c:formatCode>0.0%</c:formatCode>
                <c:ptCount val="13"/>
                <c:pt idx="0">
                  <c:v>-2.711372489116326E-2</c:v>
                </c:pt>
                <c:pt idx="1">
                  <c:v>-0.13691713691713692</c:v>
                </c:pt>
                <c:pt idx="2">
                  <c:v>-8.8126227005017044E-2</c:v>
                </c:pt>
                <c:pt idx="3">
                  <c:v>-0.12454152742684821</c:v>
                </c:pt>
                <c:pt idx="4">
                  <c:v>3.9864512767066262E-2</c:v>
                </c:pt>
                <c:pt idx="5">
                  <c:v>0.17280953431913493</c:v>
                </c:pt>
                <c:pt idx="6">
                  <c:v>6.884875846501215E-3</c:v>
                </c:pt>
                <c:pt idx="7">
                  <c:v>0.26875141627011101</c:v>
                </c:pt>
                <c:pt idx="8">
                  <c:v>-4.7176274836057575E-2</c:v>
                </c:pt>
                <c:pt idx="9">
                  <c:v>0.18039107683833655</c:v>
                </c:pt>
                <c:pt idx="12">
                  <c:v>8.9500245634406284E-3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1A4-411D-B88A-0C39974B9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A9-436B-97E6-5EDFC4697FDD}"/>
              </c:ext>
            </c:extLst>
          </c:dPt>
          <c:val>
            <c:numRef>
              <c:f>'Pernocta evol mensu TF cat'!$I$75:$I$87</c:f>
              <c:numCache>
                <c:formatCode>#,##0</c:formatCode>
                <c:ptCount val="13"/>
                <c:pt idx="0">
                  <c:v>1381</c:v>
                </c:pt>
                <c:pt idx="1">
                  <c:v>1342</c:v>
                </c:pt>
                <c:pt idx="2">
                  <c:v>1420</c:v>
                </c:pt>
                <c:pt idx="3">
                  <c:v>1202</c:v>
                </c:pt>
                <c:pt idx="4">
                  <c:v>892</c:v>
                </c:pt>
                <c:pt idx="5">
                  <c:v>855</c:v>
                </c:pt>
                <c:pt idx="6">
                  <c:v>0</c:v>
                </c:pt>
                <c:pt idx="7">
                  <c:v>0</c:v>
                </c:pt>
                <c:pt idx="8">
                  <c:v>936</c:v>
                </c:pt>
                <c:pt idx="9">
                  <c:v>1254</c:v>
                </c:pt>
                <c:pt idx="10">
                  <c:v>1515</c:v>
                </c:pt>
                <c:pt idx="11">
                  <c:v>1549</c:v>
                </c:pt>
                <c:pt idx="12">
                  <c:v>13883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A9-436B-97E6-5EDFC4697FDD}"/>
            </c:ext>
          </c:extLst>
        </c:ser>
        <c:ser>
          <c:idx val="0"/>
          <c:order val="2"/>
          <c:tx>
            <c:strRef>
              <c:f>'Pernocta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9A9-436B-97E6-5EDFC4697FDD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cat'!$K$75:$K$87</c:f>
              <c:numCache>
                <c:formatCode>#,##0</c:formatCode>
                <c:ptCount val="13"/>
                <c:pt idx="0">
                  <c:v>1488</c:v>
                </c:pt>
                <c:pt idx="1">
                  <c:v>1670</c:v>
                </c:pt>
                <c:pt idx="2">
                  <c:v>1539</c:v>
                </c:pt>
                <c:pt idx="3">
                  <c:v>1170</c:v>
                </c:pt>
                <c:pt idx="4">
                  <c:v>999</c:v>
                </c:pt>
                <c:pt idx="5">
                  <c:v>1053</c:v>
                </c:pt>
                <c:pt idx="6">
                  <c:v>1280</c:v>
                </c:pt>
                <c:pt idx="7">
                  <c:v>433</c:v>
                </c:pt>
                <c:pt idx="8">
                  <c:v>1128</c:v>
                </c:pt>
                <c:pt idx="9">
                  <c:v>1294</c:v>
                </c:pt>
                <c:pt idx="10">
                  <c:v>1634</c:v>
                </c:pt>
                <c:pt idx="11">
                  <c:v>1678</c:v>
                </c:pt>
                <c:pt idx="12">
                  <c:v>15366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A9-436B-97E6-5EDFC4697FDD}"/>
            </c:ext>
          </c:extLst>
        </c:ser>
        <c:ser>
          <c:idx val="1"/>
          <c:order val="3"/>
          <c:tx>
            <c:strRef>
              <c:f>'Pernocta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9A9-436B-97E6-5EDFC4697FD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9A9-436B-97E6-5EDFC4697FDD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cat'!$M$75:$M$87</c:f>
              <c:numCache>
                <c:formatCode>#,##0</c:formatCode>
                <c:ptCount val="13"/>
                <c:pt idx="0">
                  <c:v>1517</c:v>
                </c:pt>
                <c:pt idx="1">
                  <c:v>1487</c:v>
                </c:pt>
                <c:pt idx="2">
                  <c:v>1553</c:v>
                </c:pt>
                <c:pt idx="3">
                  <c:v>1238</c:v>
                </c:pt>
                <c:pt idx="4">
                  <c:v>1438</c:v>
                </c:pt>
                <c:pt idx="5">
                  <c:v>1030</c:v>
                </c:pt>
                <c:pt idx="6">
                  <c:v>1074</c:v>
                </c:pt>
                <c:pt idx="7">
                  <c:v>563</c:v>
                </c:pt>
                <c:pt idx="8">
                  <c:v>1167</c:v>
                </c:pt>
                <c:pt idx="9">
                  <c:v>1575</c:v>
                </c:pt>
                <c:pt idx="12">
                  <c:v>12642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9A9-436B-97E6-5EDFC4697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9A9-436B-97E6-5EDFC4697FD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2317</c:v>
                      </c:pt>
                      <c:pt idx="1">
                        <c:v>3034</c:v>
                      </c:pt>
                      <c:pt idx="2">
                        <c:v>1165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9A9-436B-97E6-5EDFC4697FD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9A9-436B-97E6-5EDFC4697FD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9A9-436B-97E6-5EDFC4697FD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9A9-436B-97E6-5EDFC4697FD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9A9-436B-97E6-5EDFC4697FD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9A9-436B-97E6-5EDFC4697FD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9A9-436B-97E6-5EDFC4697FD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9A9-436B-97E6-5EDFC4697FD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9A9-436B-97E6-5EDFC4697FD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9A9-436B-97E6-5EDFC4697FD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9A9-436B-97E6-5EDFC4697FD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9A9-436B-97E6-5EDFC4697FD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9A9-436B-97E6-5EDFC4697FD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9A9-436B-97E6-5EDFC4697FDD}"/>
              </c:ext>
            </c:extLst>
          </c:dPt>
          <c:cat>
            <c:strRef>
              <c:f>'Pernocta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cat'!$N$75:$N$87</c:f>
              <c:numCache>
                <c:formatCode>0.0%</c:formatCode>
                <c:ptCount val="13"/>
                <c:pt idx="0">
                  <c:v>1.9489247311827995E-2</c:v>
                </c:pt>
                <c:pt idx="1">
                  <c:v>-0.1095808383233533</c:v>
                </c:pt>
                <c:pt idx="2">
                  <c:v>9.0968161143600845E-3</c:v>
                </c:pt>
                <c:pt idx="3">
                  <c:v>5.8119658119658135E-2</c:v>
                </c:pt>
                <c:pt idx="4">
                  <c:v>0.43943943943943942</c:v>
                </c:pt>
                <c:pt idx="5">
                  <c:v>-2.1842355175688555E-2</c:v>
                </c:pt>
                <c:pt idx="6">
                  <c:v>-0.16093749999999996</c:v>
                </c:pt>
                <c:pt idx="7">
                  <c:v>0.30023094688221708</c:v>
                </c:pt>
                <c:pt idx="8">
                  <c:v>3.4574468085106336E-2</c:v>
                </c:pt>
                <c:pt idx="9">
                  <c:v>0.21715610510046357</c:v>
                </c:pt>
                <c:pt idx="12">
                  <c:v>4.8780487804878092E-2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9A9-436B-97E6-5EDFC4697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F36-4458-857C-3FF409D34D2C}"/>
              </c:ext>
            </c:extLst>
          </c:dPt>
          <c:val>
            <c:numRef>
              <c:f>'Pernocta evol mensu TF cat'!$I$97:$I$109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36-4458-857C-3FF409D34D2C}"/>
            </c:ext>
          </c:extLst>
        </c:ser>
        <c:ser>
          <c:idx val="0"/>
          <c:order val="2"/>
          <c:tx>
            <c:strRef>
              <c:f>'Pernocta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F36-4458-857C-3FF409D34D2C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cat'!$K$97:$K$109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36-4458-857C-3FF409D34D2C}"/>
            </c:ext>
          </c:extLst>
        </c:ser>
        <c:ser>
          <c:idx val="1"/>
          <c:order val="3"/>
          <c:tx>
            <c:strRef>
              <c:f>'Pernocta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F36-4458-857C-3FF409D34D2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F36-4458-857C-3FF409D34D2C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cat'!$M$97:$M$109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F36-4458-857C-3FF409D34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F36-4458-857C-3FF409D34D2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F36-4458-857C-3FF409D34D2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F36-4458-857C-3FF409D34D2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F36-4458-857C-3FF409D34D2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F36-4458-857C-3FF409D34D2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F36-4458-857C-3FF409D34D2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F36-4458-857C-3FF409D34D2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F36-4458-857C-3FF409D34D2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F36-4458-857C-3FF409D34D2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F36-4458-857C-3FF409D34D2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F36-4458-857C-3FF409D34D2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F36-4458-857C-3FF409D34D2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F36-4458-857C-3FF409D34D2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F36-4458-857C-3FF409D34D2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F36-4458-857C-3FF409D34D2C}"/>
              </c:ext>
            </c:extLst>
          </c:dPt>
          <c:cat>
            <c:strRef>
              <c:f>'Pernocta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F36-4458-857C-3FF409D34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6AC-46CE-9788-DE9D27B3161C}"/>
              </c:ext>
            </c:extLst>
          </c:dPt>
          <c:val>
            <c:numRef>
              <c:f>'EM evol menusual lugar resd'!$I$9:$I$21</c:f>
              <c:numCache>
                <c:formatCode>0.00</c:formatCode>
                <c:ptCount val="13"/>
                <c:pt idx="0">
                  <c:v>2.6628942486085343</c:v>
                </c:pt>
                <c:pt idx="1">
                  <c:v>2.7041745730550284</c:v>
                </c:pt>
                <c:pt idx="2">
                  <c:v>2.7572009188902631</c:v>
                </c:pt>
                <c:pt idx="3">
                  <c:v>2.4570599613152804</c:v>
                </c:pt>
                <c:pt idx="4">
                  <c:v>2.5519648912826649</c:v>
                </c:pt>
                <c:pt idx="5">
                  <c:v>2.4809854101889499</c:v>
                </c:pt>
                <c:pt idx="6">
                  <c:v>2.2105990783410139</c:v>
                </c:pt>
                <c:pt idx="7">
                  <c:v>2.5556512378902045</c:v>
                </c:pt>
                <c:pt idx="8">
                  <c:v>2.3459411634594116</c:v>
                </c:pt>
                <c:pt idx="9">
                  <c:v>2.5134645847476804</c:v>
                </c:pt>
                <c:pt idx="10">
                  <c:v>2.6623690572119258</c:v>
                </c:pt>
                <c:pt idx="11">
                  <c:v>2.587568157033806</c:v>
                </c:pt>
                <c:pt idx="12">
                  <c:v>2.5505786061867015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C-46CE-9788-DE9D27B3161C}"/>
            </c:ext>
          </c:extLst>
        </c:ser>
        <c:ser>
          <c:idx val="0"/>
          <c:order val="2"/>
          <c:tx>
            <c:strRef>
              <c:f>'EM evol menusual lugar resd'!$K$7:$L$7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6AC-46CE-9788-DE9D27B3161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resd'!$K$9:$K$21</c:f>
              <c:numCache>
                <c:formatCode>0.00</c:formatCode>
                <c:ptCount val="13"/>
                <c:pt idx="0">
                  <c:v>2.7949012842629863</c:v>
                </c:pt>
                <c:pt idx="1">
                  <c:v>3.1517801374141161</c:v>
                </c:pt>
                <c:pt idx="2">
                  <c:v>2.9589783281733748</c:v>
                </c:pt>
                <c:pt idx="3">
                  <c:v>2.6590819153146024</c:v>
                </c:pt>
                <c:pt idx="4">
                  <c:v>2.5066105769230771</c:v>
                </c:pt>
                <c:pt idx="5">
                  <c:v>2.5517154389505552</c:v>
                </c:pt>
                <c:pt idx="6">
                  <c:v>2.2077073807968648</c:v>
                </c:pt>
                <c:pt idx="7">
                  <c:v>3.1938599517074855</c:v>
                </c:pt>
                <c:pt idx="8">
                  <c:v>2.2301946137212503</c:v>
                </c:pt>
                <c:pt idx="9">
                  <c:v>2.4775360845700347</c:v>
                </c:pt>
                <c:pt idx="10">
                  <c:v>2.7401171303074672</c:v>
                </c:pt>
                <c:pt idx="11">
                  <c:v>2.5476281560826322</c:v>
                </c:pt>
                <c:pt idx="12">
                  <c:v>2.6538649194953647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AC-46CE-9788-DE9D27B3161C}"/>
            </c:ext>
          </c:extLst>
        </c:ser>
        <c:ser>
          <c:idx val="1"/>
          <c:order val="3"/>
          <c:tx>
            <c:strRef>
              <c:f>'EM evol menusual lugar resd'!$M$7:$N$7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6AC-46CE-9788-DE9D27B3161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6AC-46CE-9788-DE9D27B3161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resd'!$M$9:$M$21</c:f>
              <c:numCache>
                <c:formatCode>0.00</c:formatCode>
                <c:ptCount val="13"/>
                <c:pt idx="0">
                  <c:v>2.6840519676143852</c:v>
                </c:pt>
                <c:pt idx="1">
                  <c:v>3.1261325703385787</c:v>
                </c:pt>
                <c:pt idx="2">
                  <c:v>2.6383377012354923</c:v>
                </c:pt>
                <c:pt idx="3">
                  <c:v>2.7806406685236769</c:v>
                </c:pt>
                <c:pt idx="4">
                  <c:v>2.6832733093237295</c:v>
                </c:pt>
                <c:pt idx="5">
                  <c:v>2.8302986161689732</c:v>
                </c:pt>
                <c:pt idx="6">
                  <c:v>2.7481440747869121</c:v>
                </c:pt>
                <c:pt idx="7">
                  <c:v>2.856691765848919</c:v>
                </c:pt>
                <c:pt idx="8">
                  <c:v>2.4850695235924323</c:v>
                </c:pt>
                <c:pt idx="9">
                  <c:v>2.4095158597662771</c:v>
                </c:pt>
                <c:pt idx="12">
                  <c:v>2.7066999978449671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6AC-46CE-9788-DE9D27B31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6AC-46CE-9788-DE9D27B3161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2.6174716182412929</c:v>
                      </c:pt>
                      <c:pt idx="1">
                        <c:v>2.6762455682030231</c:v>
                      </c:pt>
                      <c:pt idx="2">
                        <c:v>2.599636032757052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2.499459848757652</c:v>
                      </c:pt>
                      <c:pt idx="8">
                        <c:v>2.135487528344671</c:v>
                      </c:pt>
                      <c:pt idx="9">
                        <c:v>2.0425170068027212</c:v>
                      </c:pt>
                      <c:pt idx="10">
                        <c:v>2.0164492342597846</c:v>
                      </c:pt>
                      <c:pt idx="11">
                        <c:v>2.2569676700111483</c:v>
                      </c:pt>
                      <c:pt idx="12">
                        <c:v>2.437843193922629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6AC-46CE-9788-DE9D27B3161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6AC-46CE-9788-DE9D27B3161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6AC-46CE-9788-DE9D27B3161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6AC-46CE-9788-DE9D27B3161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6AC-46CE-9788-DE9D27B3161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6AC-46CE-9788-DE9D27B3161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6AC-46CE-9788-DE9D27B3161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6AC-46CE-9788-DE9D27B3161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6AC-46CE-9788-DE9D27B3161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6AC-46CE-9788-DE9D27B3161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6AC-46CE-9788-DE9D27B3161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6AC-46CE-9788-DE9D27B3161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6AC-46CE-9788-DE9D27B3161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6AC-46CE-9788-DE9D27B3161C}"/>
              </c:ext>
            </c:extLst>
          </c:dPt>
          <c:cat>
            <c:strRef>
              <c:f>'EM evol menusual lugar resd'!$B$9:$B$20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resd'!$N$9:$N$21</c:f>
              <c:numCache>
                <c:formatCode>0.00</c:formatCode>
                <c:ptCount val="13"/>
                <c:pt idx="0">
                  <c:v>-0.11084931664860109</c:v>
                </c:pt>
                <c:pt idx="1">
                  <c:v>-2.5647567075537392E-2</c:v>
                </c:pt>
                <c:pt idx="2">
                  <c:v>-0.32064062693788253</c:v>
                </c:pt>
                <c:pt idx="3">
                  <c:v>0.1215587532090745</c:v>
                </c:pt>
                <c:pt idx="4">
                  <c:v>0.17666273240065244</c:v>
                </c:pt>
                <c:pt idx="5">
                  <c:v>0.27858317721841797</c:v>
                </c:pt>
                <c:pt idx="6">
                  <c:v>0.54043669399004735</c:v>
                </c:pt>
                <c:pt idx="7">
                  <c:v>-0.33716818585856645</c:v>
                </c:pt>
                <c:pt idx="8">
                  <c:v>0.254874909871182</c:v>
                </c:pt>
                <c:pt idx="9">
                  <c:v>-6.8020224803757579E-2</c:v>
                </c:pt>
                <c:pt idx="12">
                  <c:v>5.1033559606145751E-2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6AC-46CE-9788-DE9D27B31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03-4071-BFB8-23E2DB6A94D3}"/>
              </c:ext>
            </c:extLst>
          </c:dPt>
          <c:val>
            <c:numRef>
              <c:f>'EM evol menusual lugar resd'!$I$31:$I$43</c:f>
              <c:numCache>
                <c:formatCode>0.00</c:formatCode>
                <c:ptCount val="13"/>
                <c:pt idx="0">
                  <c:v>1.8540433925049309</c:v>
                </c:pt>
                <c:pt idx="1">
                  <c:v>1.8500483714930667</c:v>
                </c:pt>
                <c:pt idx="2">
                  <c:v>1.8848289973691903</c:v>
                </c:pt>
                <c:pt idx="3">
                  <c:v>1.7696677080374894</c:v>
                </c:pt>
                <c:pt idx="4">
                  <c:v>2.0239369191776966</c:v>
                </c:pt>
                <c:pt idx="5">
                  <c:v>1.9933008526187577</c:v>
                </c:pt>
                <c:pt idx="6">
                  <c:v>1.9799121155053359</c:v>
                </c:pt>
                <c:pt idx="7">
                  <c:v>2.120403321470937</c:v>
                </c:pt>
                <c:pt idx="8">
                  <c:v>1.8982850384387937</c:v>
                </c:pt>
                <c:pt idx="9">
                  <c:v>1.9529203539823008</c:v>
                </c:pt>
                <c:pt idx="10">
                  <c:v>1.8118126272912423</c:v>
                </c:pt>
                <c:pt idx="11">
                  <c:v>1.8590240123934934</c:v>
                </c:pt>
                <c:pt idx="12">
                  <c:v>1.9201526960394464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03-4071-BFB8-23E2DB6A94D3}"/>
            </c:ext>
          </c:extLst>
        </c:ser>
        <c:ser>
          <c:idx val="0"/>
          <c:order val="2"/>
          <c:tx>
            <c:strRef>
              <c:f>'EM evol menusual lugar resd'!$K$29:$L$29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B03-4071-BFB8-23E2DB6A94D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resd'!$K$31:$K$43</c:f>
              <c:numCache>
                <c:formatCode>0.00</c:formatCode>
                <c:ptCount val="13"/>
                <c:pt idx="0">
                  <c:v>1.7593017914561322</c:v>
                </c:pt>
                <c:pt idx="1">
                  <c:v>2.2994923857868019</c:v>
                </c:pt>
                <c:pt idx="2">
                  <c:v>1.9806231003039514</c:v>
                </c:pt>
                <c:pt idx="3">
                  <c:v>1.8177655677655677</c:v>
                </c:pt>
                <c:pt idx="4">
                  <c:v>1.8523102310231023</c:v>
                </c:pt>
                <c:pt idx="5">
                  <c:v>2.0435505319148937</c:v>
                </c:pt>
                <c:pt idx="6">
                  <c:v>1.9556135770234986</c:v>
                </c:pt>
                <c:pt idx="7">
                  <c:v>2.7328288707799766</c:v>
                </c:pt>
                <c:pt idx="8">
                  <c:v>1.8101173020527859</c:v>
                </c:pt>
                <c:pt idx="9">
                  <c:v>1.8134092346616066</c:v>
                </c:pt>
                <c:pt idx="10">
                  <c:v>2.2344701583434836</c:v>
                </c:pt>
                <c:pt idx="11">
                  <c:v>1.9500310366232154</c:v>
                </c:pt>
                <c:pt idx="12">
                  <c:v>1.9837804639736467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03-4071-BFB8-23E2DB6A94D3}"/>
            </c:ext>
          </c:extLst>
        </c:ser>
        <c:ser>
          <c:idx val="1"/>
          <c:order val="3"/>
          <c:tx>
            <c:strRef>
              <c:f>'EM evol menusual lugar resd'!$M$29:$N$29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B03-4071-BFB8-23E2DB6A94D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B03-4071-BFB8-23E2DB6A94D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resd'!$M$31:$M$43</c:f>
              <c:numCache>
                <c:formatCode>0.00</c:formatCode>
                <c:ptCount val="13"/>
                <c:pt idx="0">
                  <c:v>1.8163650075414781</c:v>
                </c:pt>
                <c:pt idx="1">
                  <c:v>2.1857954545454548</c:v>
                </c:pt>
                <c:pt idx="2">
                  <c:v>1.7477379659790084</c:v>
                </c:pt>
                <c:pt idx="3">
                  <c:v>2.1689594356261024</c:v>
                </c:pt>
                <c:pt idx="4">
                  <c:v>2.14046061984646</c:v>
                </c:pt>
                <c:pt idx="5">
                  <c:v>2.3801732435033687</c:v>
                </c:pt>
                <c:pt idx="6">
                  <c:v>2.6169255928045789</c:v>
                </c:pt>
                <c:pt idx="7">
                  <c:v>2.4528493894165537</c:v>
                </c:pt>
                <c:pt idx="8">
                  <c:v>2.0371862410907964</c:v>
                </c:pt>
                <c:pt idx="9">
                  <c:v>1.82603550295858</c:v>
                </c:pt>
                <c:pt idx="12">
                  <c:v>2.1197015937605967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B03-4071-BFB8-23E2DB6A9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B03-4071-BFB8-23E2DB6A94D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1.9042170644001308</c:v>
                      </c:pt>
                      <c:pt idx="1">
                        <c:v>1.7546553413917021</c:v>
                      </c:pt>
                      <c:pt idx="2">
                        <c:v>1.6356821589205397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2.3508196721311476</c:v>
                      </c:pt>
                      <c:pt idx="8">
                        <c:v>2.1324549237170598</c:v>
                      </c:pt>
                      <c:pt idx="9">
                        <c:v>2.0562546262028127</c:v>
                      </c:pt>
                      <c:pt idx="10">
                        <c:v>1.9450636942675159</c:v>
                      </c:pt>
                      <c:pt idx="11">
                        <c:v>2.1720807726075506</c:v>
                      </c:pt>
                      <c:pt idx="12">
                        <c:v>1.9846470698371093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B03-4071-BFB8-23E2DB6A94D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resd'!$N$30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B03-4071-BFB8-23E2DB6A94D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B03-4071-BFB8-23E2DB6A94D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B03-4071-BFB8-23E2DB6A94D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B03-4071-BFB8-23E2DB6A94D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B03-4071-BFB8-23E2DB6A94D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B03-4071-BFB8-23E2DB6A94D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B03-4071-BFB8-23E2DB6A94D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B03-4071-BFB8-23E2DB6A94D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B03-4071-BFB8-23E2DB6A94D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B03-4071-BFB8-23E2DB6A94D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B03-4071-BFB8-23E2DB6A94D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B03-4071-BFB8-23E2DB6A94D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B03-4071-BFB8-23E2DB6A94D3}"/>
              </c:ext>
            </c:extLst>
          </c:dPt>
          <c:cat>
            <c:strRef>
              <c:f>'EM evol menusual lugar resd'!$B$31:$B$42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resd'!$N$31:$N$43</c:f>
              <c:numCache>
                <c:formatCode>0.00</c:formatCode>
                <c:ptCount val="13"/>
                <c:pt idx="0">
                  <c:v>5.7063216085345925E-2</c:v>
                </c:pt>
                <c:pt idx="1">
                  <c:v>-0.11369693124134717</c:v>
                </c:pt>
                <c:pt idx="2">
                  <c:v>-0.23288513432494296</c:v>
                </c:pt>
                <c:pt idx="3">
                  <c:v>0.35119386786053464</c:v>
                </c:pt>
                <c:pt idx="4">
                  <c:v>0.28815038882335764</c:v>
                </c:pt>
                <c:pt idx="5">
                  <c:v>0.33662271158847501</c:v>
                </c:pt>
                <c:pt idx="6">
                  <c:v>0.66131201578108034</c:v>
                </c:pt>
                <c:pt idx="7">
                  <c:v>-0.27997948136342288</c:v>
                </c:pt>
                <c:pt idx="8">
                  <c:v>0.22706893903801051</c:v>
                </c:pt>
                <c:pt idx="9">
                  <c:v>1.2626268296973331E-2</c:v>
                </c:pt>
                <c:pt idx="12">
                  <c:v>0.16029514654927146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B03-4071-BFB8-23E2DB6A9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D6-44BB-B54E-7999233BC07A}"/>
              </c:ext>
            </c:extLst>
          </c:dPt>
          <c:val>
            <c:numRef>
              <c:f>'EM evol menusual lugar resd'!$I$53:$I$65</c:f>
              <c:numCache>
                <c:formatCode>0.00</c:formatCode>
                <c:ptCount val="13"/>
                <c:pt idx="0">
                  <c:v>2.1779062299293512</c:v>
                </c:pt>
                <c:pt idx="1">
                  <c:v>1.910030627871363</c:v>
                </c:pt>
                <c:pt idx="2">
                  <c:v>1.9119541875447388</c:v>
                </c:pt>
                <c:pt idx="3">
                  <c:v>1.8283518360375748</c:v>
                </c:pt>
                <c:pt idx="4">
                  <c:v>2.3117593436645398</c:v>
                </c:pt>
                <c:pt idx="5">
                  <c:v>2.1816707218167073</c:v>
                </c:pt>
                <c:pt idx="6">
                  <c:v>2.1775417298937785</c:v>
                </c:pt>
                <c:pt idx="7">
                  <c:v>2.29901707190895</c:v>
                </c:pt>
                <c:pt idx="8">
                  <c:v>1.996734693877551</c:v>
                </c:pt>
                <c:pt idx="9">
                  <c:v>2.0656192236598891</c:v>
                </c:pt>
                <c:pt idx="10">
                  <c:v>1.8906950672645739</c:v>
                </c:pt>
                <c:pt idx="11">
                  <c:v>2.0252631578947367</c:v>
                </c:pt>
                <c:pt idx="12">
                  <c:v>2.0556463538018521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D6-44BB-B54E-7999233BC07A}"/>
            </c:ext>
          </c:extLst>
        </c:ser>
        <c:ser>
          <c:idx val="0"/>
          <c:order val="2"/>
          <c:tx>
            <c:strRef>
              <c:f>'EM evol menusual lugar resd'!$K$51:$L$51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DD6-44BB-B54E-7999233BC07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resd'!$K$53:$K$65</c:f>
              <c:numCache>
                <c:formatCode>0.00</c:formatCode>
                <c:ptCount val="13"/>
                <c:pt idx="0">
                  <c:v>1.8096885813148789</c:v>
                </c:pt>
                <c:pt idx="1">
                  <c:v>2.0161987041036715</c:v>
                </c:pt>
                <c:pt idx="2">
                  <c:v>2.1184280403611258</c:v>
                </c:pt>
                <c:pt idx="3">
                  <c:v>1.8955807587016034</c:v>
                </c:pt>
                <c:pt idx="4">
                  <c:v>2.032228778937812</c:v>
                </c:pt>
                <c:pt idx="5">
                  <c:v>2.174083769633508</c:v>
                </c:pt>
                <c:pt idx="6">
                  <c:v>2.2250136537411249</c:v>
                </c:pt>
                <c:pt idx="7">
                  <c:v>2.3365758754863815</c:v>
                </c:pt>
                <c:pt idx="8">
                  <c:v>2.0187553282182438</c:v>
                </c:pt>
                <c:pt idx="9">
                  <c:v>2.0150204824761038</c:v>
                </c:pt>
                <c:pt idx="10">
                  <c:v>2.0650684931506849</c:v>
                </c:pt>
                <c:pt idx="11">
                  <c:v>2.1170091324200913</c:v>
                </c:pt>
                <c:pt idx="12">
                  <c:v>2.0637738055462744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DD6-44BB-B54E-7999233BC07A}"/>
            </c:ext>
          </c:extLst>
        </c:ser>
        <c:ser>
          <c:idx val="1"/>
          <c:order val="3"/>
          <c:tx>
            <c:strRef>
              <c:f>'EM evol menusual lugar resd'!$M$51:$N$51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DD6-44BB-B54E-7999233BC07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DD6-44BB-B54E-7999233BC07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resd'!$M$53:$M$65</c:f>
              <c:numCache>
                <c:formatCode>0.00</c:formatCode>
                <c:ptCount val="13"/>
                <c:pt idx="0">
                  <c:v>1.9697488584474885</c:v>
                </c:pt>
                <c:pt idx="1">
                  <c:v>1.8417213712618528</c:v>
                </c:pt>
                <c:pt idx="2">
                  <c:v>1.8521017125064867</c:v>
                </c:pt>
                <c:pt idx="3">
                  <c:v>2.4029925187032419</c:v>
                </c:pt>
                <c:pt idx="4">
                  <c:v>2.077142857142857</c:v>
                </c:pt>
                <c:pt idx="5">
                  <c:v>2.0606205250596661</c:v>
                </c:pt>
                <c:pt idx="6">
                  <c:v>2.6652334152334154</c:v>
                </c:pt>
                <c:pt idx="7">
                  <c:v>2.6602086438152011</c:v>
                </c:pt>
                <c:pt idx="8">
                  <c:v>2.2105751391465676</c:v>
                </c:pt>
                <c:pt idx="9">
                  <c:v>2.1529038112522687</c:v>
                </c:pt>
                <c:pt idx="12">
                  <c:v>2.1777179763186223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DD6-44BB-B54E-7999233BC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DD6-44BB-B54E-7999233BC07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2.4701986754966887</c:v>
                      </c:pt>
                      <c:pt idx="1">
                        <c:v>2.0367700072098054</c:v>
                      </c:pt>
                      <c:pt idx="2">
                        <c:v>1.8451612903225807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2.4185218165627784</c:v>
                      </c:pt>
                      <c:pt idx="8">
                        <c:v>2.3158584534731324</c:v>
                      </c:pt>
                      <c:pt idx="9">
                        <c:v>2.404040404040404</c:v>
                      </c:pt>
                      <c:pt idx="10">
                        <c:v>2.1905737704918034</c:v>
                      </c:pt>
                      <c:pt idx="11">
                        <c:v>1.8355795148247978</c:v>
                      </c:pt>
                      <c:pt idx="12">
                        <c:v>2.2143343779806512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DD6-44BB-B54E-7999233BC07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resd'!$N$52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DD6-44BB-B54E-7999233BC07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DD6-44BB-B54E-7999233BC07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DD6-44BB-B54E-7999233BC07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DD6-44BB-B54E-7999233BC07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DD6-44BB-B54E-7999233BC07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DD6-44BB-B54E-7999233BC07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DD6-44BB-B54E-7999233BC07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DD6-44BB-B54E-7999233BC07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DD6-44BB-B54E-7999233BC07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DD6-44BB-B54E-7999233BC07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DD6-44BB-B54E-7999233BC07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DD6-44BB-B54E-7999233BC07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DD6-44BB-B54E-7999233BC07A}"/>
              </c:ext>
            </c:extLst>
          </c:dPt>
          <c:cat>
            <c:strRef>
              <c:f>'EM evol menusual lugar resd'!$B$53:$B$64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resd'!$N$53:$N$65</c:f>
              <c:numCache>
                <c:formatCode>0.00</c:formatCode>
                <c:ptCount val="13"/>
                <c:pt idx="0">
                  <c:v>0.16006027713260962</c:v>
                </c:pt>
                <c:pt idx="1">
                  <c:v>-0.17447733284181877</c:v>
                </c:pt>
                <c:pt idx="2">
                  <c:v>-0.26632632785463906</c:v>
                </c:pt>
                <c:pt idx="3">
                  <c:v>0.50741176000163857</c:v>
                </c:pt>
                <c:pt idx="4">
                  <c:v>4.4914078205045005E-2</c:v>
                </c:pt>
                <c:pt idx="5">
                  <c:v>-0.11346324457384194</c:v>
                </c:pt>
                <c:pt idx="6">
                  <c:v>0.44021976149229047</c:v>
                </c:pt>
                <c:pt idx="7">
                  <c:v>0.3236327683288196</c:v>
                </c:pt>
                <c:pt idx="8">
                  <c:v>0.19181981092832379</c:v>
                </c:pt>
                <c:pt idx="9">
                  <c:v>0.13788332877616494</c:v>
                </c:pt>
                <c:pt idx="12">
                  <c:v>0.11870467475022828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DD6-44BB-B54E-7999233BC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35-4D80-A85A-F5D58D3DF571}"/>
              </c:ext>
            </c:extLst>
          </c:dPt>
          <c:val>
            <c:numRef>
              <c:f>'EM evol menusual lugar resd'!$I$75:$I$87</c:f>
              <c:numCache>
                <c:formatCode>0.00</c:formatCode>
                <c:ptCount val="13"/>
                <c:pt idx="0">
                  <c:v>1.5144781144781145</c:v>
                </c:pt>
                <c:pt idx="1">
                  <c:v>1.5296523517382412</c:v>
                </c:pt>
                <c:pt idx="2">
                  <c:v>1.7639553429027113</c:v>
                </c:pt>
                <c:pt idx="3">
                  <c:v>1.6530958439355385</c:v>
                </c:pt>
                <c:pt idx="4">
                  <c:v>1.5585851142225498</c:v>
                </c:pt>
                <c:pt idx="5">
                  <c:v>1.4254278728606358</c:v>
                </c:pt>
                <c:pt idx="6">
                  <c:v>1.6567411083540116</c:v>
                </c:pt>
                <c:pt idx="7">
                  <c:v>1.88047255038221</c:v>
                </c:pt>
                <c:pt idx="8">
                  <c:v>1.6394849785407726</c:v>
                </c:pt>
                <c:pt idx="9">
                  <c:v>1.5839636913767019</c:v>
                </c:pt>
                <c:pt idx="10">
                  <c:v>1.6020864381520119</c:v>
                </c:pt>
                <c:pt idx="11">
                  <c:v>1.6542783059636992</c:v>
                </c:pt>
                <c:pt idx="12">
                  <c:v>1.6305721889554226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35-4D80-A85A-F5D58D3DF571}"/>
            </c:ext>
          </c:extLst>
        </c:ser>
        <c:ser>
          <c:idx val="0"/>
          <c:order val="2"/>
          <c:tx>
            <c:strRef>
              <c:f>'EM evol menusual lugar resd'!$K$73:$L$73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A35-4D80-A85A-F5D58D3DF57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resd'!$K$75:$K$87</c:f>
              <c:numCache>
                <c:formatCode>0.00</c:formatCode>
                <c:ptCount val="13"/>
                <c:pt idx="0">
                  <c:v>1.6598360655737705</c:v>
                </c:pt>
                <c:pt idx="1">
                  <c:v>3.9650793650793652</c:v>
                </c:pt>
                <c:pt idx="2">
                  <c:v>1.6341789052069426</c:v>
                </c:pt>
                <c:pt idx="3">
                  <c:v>1.5410292072322671</c:v>
                </c:pt>
                <c:pt idx="4">
                  <c:v>1.5757152826238661</c:v>
                </c:pt>
                <c:pt idx="5">
                  <c:v>1.6256983240223464</c:v>
                </c:pt>
                <c:pt idx="6">
                  <c:v>1.6503712871287128</c:v>
                </c:pt>
                <c:pt idx="7">
                  <c:v>6.2045454545454541</c:v>
                </c:pt>
                <c:pt idx="8">
                  <c:v>1.5297823596792668</c:v>
                </c:pt>
                <c:pt idx="9">
                  <c:v>1.3544041450777202</c:v>
                </c:pt>
                <c:pt idx="10">
                  <c:v>2.5137096774193548</c:v>
                </c:pt>
                <c:pt idx="11">
                  <c:v>1.7510204081632652</c:v>
                </c:pt>
                <c:pt idx="12">
                  <c:v>1.8225141028879346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35-4D80-A85A-F5D58D3DF571}"/>
            </c:ext>
          </c:extLst>
        </c:ser>
        <c:ser>
          <c:idx val="1"/>
          <c:order val="3"/>
          <c:tx>
            <c:strRef>
              <c:f>'EM evol menusual lugar resd'!$M$73:$N$73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A35-4D80-A85A-F5D58D3DF57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A35-4D80-A85A-F5D58D3DF57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resd'!$M$75:$M$87</c:f>
              <c:numCache>
                <c:formatCode>0.00</c:formatCode>
                <c:ptCount val="13"/>
                <c:pt idx="0">
                  <c:v>1.5177777777777777</c:v>
                </c:pt>
                <c:pt idx="1">
                  <c:v>3.3984575835475579</c:v>
                </c:pt>
                <c:pt idx="2">
                  <c:v>1.5071770334928229</c:v>
                </c:pt>
                <c:pt idx="3">
                  <c:v>1.6036144578313254</c:v>
                </c:pt>
                <c:pt idx="4">
                  <c:v>2.2342978122794634</c:v>
                </c:pt>
                <c:pt idx="5">
                  <c:v>3.0352250489236789</c:v>
                </c:pt>
                <c:pt idx="6">
                  <c:v>2.5207823960880194</c:v>
                </c:pt>
                <c:pt idx="7">
                  <c:v>2.2795765877957659</c:v>
                </c:pt>
                <c:pt idx="8">
                  <c:v>1.6881419234360411</c:v>
                </c:pt>
                <c:pt idx="9">
                  <c:v>1.4695695200395844</c:v>
                </c:pt>
                <c:pt idx="12">
                  <c:v>2.0208982584784603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A35-4D80-A85A-F5D58D3DF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A35-4D80-A85A-F5D58D3DF57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1.5348460291734198</c:v>
                      </c:pt>
                      <c:pt idx="1">
                        <c:v>1.5209080047789725</c:v>
                      </c:pt>
                      <c:pt idx="2">
                        <c:v>1.453781512605042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2.2756916996047432</c:v>
                      </c:pt>
                      <c:pt idx="8">
                        <c:v>1.9263622974963182</c:v>
                      </c:pt>
                      <c:pt idx="9">
                        <c:v>1.5635062611806798</c:v>
                      </c:pt>
                      <c:pt idx="10">
                        <c:v>1.7890625</c:v>
                      </c:pt>
                      <c:pt idx="11">
                        <c:v>2.3346354166666665</c:v>
                      </c:pt>
                      <c:pt idx="12">
                        <c:v>1.7905343159834177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A35-4D80-A85A-F5D58D3DF57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resd'!$N$74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A35-4D80-A85A-F5D58D3DF57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A35-4D80-A85A-F5D58D3DF57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A35-4D80-A85A-F5D58D3DF57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A35-4D80-A85A-F5D58D3DF57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A35-4D80-A85A-F5D58D3DF57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A35-4D80-A85A-F5D58D3DF57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A35-4D80-A85A-F5D58D3DF57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A35-4D80-A85A-F5D58D3DF57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A35-4D80-A85A-F5D58D3DF57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A35-4D80-A85A-F5D58D3DF57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A35-4D80-A85A-F5D58D3DF57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A35-4D80-A85A-F5D58D3DF57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A35-4D80-A85A-F5D58D3DF571}"/>
              </c:ext>
            </c:extLst>
          </c:dPt>
          <c:cat>
            <c:strRef>
              <c:f>'EM evol menusual lugar resd'!$B$75:$B$86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resd'!$N$75:$N$87</c:f>
              <c:numCache>
                <c:formatCode>0.00</c:formatCode>
                <c:ptCount val="13"/>
                <c:pt idx="0">
                  <c:v>-0.14205828779599283</c:v>
                </c:pt>
                <c:pt idx="1">
                  <c:v>-0.56662178153180731</c:v>
                </c:pt>
                <c:pt idx="2">
                  <c:v>-0.1270018717141197</c:v>
                </c:pt>
                <c:pt idx="3">
                  <c:v>6.2585250599058284E-2</c:v>
                </c:pt>
                <c:pt idx="4">
                  <c:v>0.65858252965559738</c:v>
                </c:pt>
                <c:pt idx="5">
                  <c:v>1.4095267249013326</c:v>
                </c:pt>
                <c:pt idx="6">
                  <c:v>0.87041110895930651</c:v>
                </c:pt>
                <c:pt idx="7">
                  <c:v>-3.9249688667496883</c:v>
                </c:pt>
                <c:pt idx="8">
                  <c:v>0.15835956375677429</c:v>
                </c:pt>
                <c:pt idx="9">
                  <c:v>0.11516537496186419</c:v>
                </c:pt>
                <c:pt idx="12">
                  <c:v>0.2804160941935252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A35-4D80-A85A-F5D58D3DF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F77-4D56-B8BF-DF628BF76FFD}"/>
              </c:ext>
            </c:extLst>
          </c:dPt>
          <c:val>
            <c:numRef>
              <c:f>'Viajeros entr evol mensu TF'!$I$97:$I$109</c:f>
              <c:numCache>
                <c:formatCode>#,##0</c:formatCode>
                <c:ptCount val="13"/>
                <c:pt idx="0">
                  <c:v>2348</c:v>
                </c:pt>
                <c:pt idx="1">
                  <c:v>2169</c:v>
                </c:pt>
                <c:pt idx="2">
                  <c:v>2238</c:v>
                </c:pt>
                <c:pt idx="3">
                  <c:v>1649</c:v>
                </c:pt>
                <c:pt idx="4">
                  <c:v>1462</c:v>
                </c:pt>
                <c:pt idx="5">
                  <c:v>897</c:v>
                </c:pt>
                <c:pt idx="6">
                  <c:v>1154</c:v>
                </c:pt>
                <c:pt idx="7">
                  <c:v>1273</c:v>
                </c:pt>
                <c:pt idx="8">
                  <c:v>1139</c:v>
                </c:pt>
                <c:pt idx="9">
                  <c:v>1594</c:v>
                </c:pt>
                <c:pt idx="10">
                  <c:v>2509</c:v>
                </c:pt>
                <c:pt idx="11">
                  <c:v>2003</c:v>
                </c:pt>
                <c:pt idx="12">
                  <c:v>20435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77-4D56-B8BF-DF628BF76FFD}"/>
            </c:ext>
          </c:extLst>
        </c:ser>
        <c:ser>
          <c:idx val="0"/>
          <c:order val="2"/>
          <c:tx>
            <c:strRef>
              <c:f>'Viajeros entr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F77-4D56-B8BF-DF628BF76FF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TF'!$K$97:$K$109</c:f>
              <c:numCache>
                <c:formatCode>#,##0</c:formatCode>
                <c:ptCount val="13"/>
                <c:pt idx="0">
                  <c:v>3040</c:v>
                </c:pt>
                <c:pt idx="1">
                  <c:v>2636</c:v>
                </c:pt>
                <c:pt idx="2">
                  <c:v>2536</c:v>
                </c:pt>
                <c:pt idx="3">
                  <c:v>1778</c:v>
                </c:pt>
                <c:pt idx="4">
                  <c:v>1356</c:v>
                </c:pt>
                <c:pt idx="5">
                  <c:v>956</c:v>
                </c:pt>
                <c:pt idx="6">
                  <c:v>1146</c:v>
                </c:pt>
                <c:pt idx="7">
                  <c:v>1181</c:v>
                </c:pt>
                <c:pt idx="8">
                  <c:v>995</c:v>
                </c:pt>
                <c:pt idx="9">
                  <c:v>1757</c:v>
                </c:pt>
                <c:pt idx="10">
                  <c:v>2180</c:v>
                </c:pt>
                <c:pt idx="11">
                  <c:v>2006</c:v>
                </c:pt>
                <c:pt idx="12">
                  <c:v>21567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77-4D56-B8BF-DF628BF76FFD}"/>
            </c:ext>
          </c:extLst>
        </c:ser>
        <c:ser>
          <c:idx val="1"/>
          <c:order val="3"/>
          <c:tx>
            <c:strRef>
              <c:f>'Viajeros entr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F77-4D56-B8BF-DF628BF76FF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F77-4D56-B8BF-DF628BF76FF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TF'!$M$97:$M$109</c:f>
              <c:numCache>
                <c:formatCode>#,##0</c:formatCode>
                <c:ptCount val="13"/>
                <c:pt idx="0">
                  <c:v>2659</c:v>
                </c:pt>
                <c:pt idx="1">
                  <c:v>2434</c:v>
                </c:pt>
                <c:pt idx="2">
                  <c:v>2579</c:v>
                </c:pt>
                <c:pt idx="3">
                  <c:v>1473</c:v>
                </c:pt>
                <c:pt idx="4">
                  <c:v>1481</c:v>
                </c:pt>
                <c:pt idx="5">
                  <c:v>1002</c:v>
                </c:pt>
                <c:pt idx="6">
                  <c:v>1191</c:v>
                </c:pt>
                <c:pt idx="7">
                  <c:v>1169</c:v>
                </c:pt>
                <c:pt idx="8">
                  <c:v>1160</c:v>
                </c:pt>
                <c:pt idx="9">
                  <c:v>1765</c:v>
                </c:pt>
                <c:pt idx="12">
                  <c:v>16913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F77-4D56-B8BF-DF628BF7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F77-4D56-B8BF-DF628BF76FF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2138</c:v>
                      </c:pt>
                      <c:pt idx="1">
                        <c:v>2298</c:v>
                      </c:pt>
                      <c:pt idx="2">
                        <c:v>864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642</c:v>
                      </c:pt>
                      <c:pt idx="8">
                        <c:v>322</c:v>
                      </c:pt>
                      <c:pt idx="9">
                        <c:v>413</c:v>
                      </c:pt>
                      <c:pt idx="10">
                        <c:v>507</c:v>
                      </c:pt>
                      <c:pt idx="11">
                        <c:v>655</c:v>
                      </c:pt>
                      <c:pt idx="12">
                        <c:v>8198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F77-4D56-B8BF-DF628BF76FF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F77-4D56-B8BF-DF628BF76FF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F77-4D56-B8BF-DF628BF76FF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F77-4D56-B8BF-DF628BF76FF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F77-4D56-B8BF-DF628BF76FF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F77-4D56-B8BF-DF628BF76FF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F77-4D56-B8BF-DF628BF76FF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F77-4D56-B8BF-DF628BF76FF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F77-4D56-B8BF-DF628BF76FF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F77-4D56-B8BF-DF628BF76FF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F77-4D56-B8BF-DF628BF76FF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F77-4D56-B8BF-DF628BF76FF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F77-4D56-B8BF-DF628BF76FF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F77-4D56-B8BF-DF628BF76FFD}"/>
              </c:ext>
            </c:extLst>
          </c:dPt>
          <c:cat>
            <c:strRef>
              <c:f>'Viajeros entr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TF'!$N$97:$N$109</c:f>
              <c:numCache>
                <c:formatCode>0.0%</c:formatCode>
                <c:ptCount val="13"/>
                <c:pt idx="0">
                  <c:v>-0.12532894736842104</c:v>
                </c:pt>
                <c:pt idx="1">
                  <c:v>-7.6631259484066794E-2</c:v>
                </c:pt>
                <c:pt idx="2">
                  <c:v>1.6955835962145116E-2</c:v>
                </c:pt>
                <c:pt idx="3">
                  <c:v>-0.17154105736782899</c:v>
                </c:pt>
                <c:pt idx="4">
                  <c:v>9.2182890855457167E-2</c:v>
                </c:pt>
                <c:pt idx="5">
                  <c:v>4.8117154811715412E-2</c:v>
                </c:pt>
                <c:pt idx="6">
                  <c:v>3.9267015706806241E-2</c:v>
                </c:pt>
                <c:pt idx="7">
                  <c:v>-1.0160880609652811E-2</c:v>
                </c:pt>
                <c:pt idx="8">
                  <c:v>0.16582914572864316</c:v>
                </c:pt>
                <c:pt idx="9">
                  <c:v>4.5532157085941272E-3</c:v>
                </c:pt>
                <c:pt idx="12">
                  <c:v>-2.6925953627524257E-2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F77-4D56-B8BF-DF628BF7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B1E-47A9-92D0-1530DFB96908}"/>
              </c:ext>
            </c:extLst>
          </c:dPt>
          <c:val>
            <c:numRef>
              <c:f>'EM evol menusual lugar resd'!$I$97:$I$109</c:f>
              <c:numCache>
                <c:formatCode>0.00</c:formatCode>
                <c:ptCount val="13"/>
                <c:pt idx="0">
                  <c:v>3.7108177172061327</c:v>
                </c:pt>
                <c:pt idx="1">
                  <c:v>3.9253112033195019</c:v>
                </c:pt>
                <c:pt idx="2">
                  <c:v>4.0907059874888292</c:v>
                </c:pt>
                <c:pt idx="3">
                  <c:v>3.9248029108550635</c:v>
                </c:pt>
                <c:pt idx="4">
                  <c:v>3.8344733242134064</c:v>
                </c:pt>
                <c:pt idx="5">
                  <c:v>4.2664437012263097</c:v>
                </c:pt>
                <c:pt idx="6">
                  <c:v>2.8474870017331022</c:v>
                </c:pt>
                <c:pt idx="7">
                  <c:v>3.7085624509033779</c:v>
                </c:pt>
                <c:pt idx="8">
                  <c:v>3.6751536435469712</c:v>
                </c:pt>
                <c:pt idx="9">
                  <c:v>3.5069008782936009</c:v>
                </c:pt>
                <c:pt idx="10">
                  <c:v>3.4946193702670385</c:v>
                </c:pt>
                <c:pt idx="11">
                  <c:v>3.5267099350973541</c:v>
                </c:pt>
                <c:pt idx="12">
                  <c:v>3.714313677514069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1E-47A9-92D0-1530DFB96908}"/>
            </c:ext>
          </c:extLst>
        </c:ser>
        <c:ser>
          <c:idx val="0"/>
          <c:order val="2"/>
          <c:tx>
            <c:strRef>
              <c:f>'EM evol menusual lugar resd'!$K$95:$L$95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B1E-47A9-92D0-1530DFB9690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resd'!$K$97:$K$109</c:f>
              <c:numCache>
                <c:formatCode>0.00</c:formatCode>
                <c:ptCount val="13"/>
                <c:pt idx="0">
                  <c:v>3.5365131578947366</c:v>
                </c:pt>
                <c:pt idx="1">
                  <c:v>3.8524279210925645</c:v>
                </c:pt>
                <c:pt idx="2">
                  <c:v>3.9743690851735014</c:v>
                </c:pt>
                <c:pt idx="3">
                  <c:v>4.209223847019123</c:v>
                </c:pt>
                <c:pt idx="4">
                  <c:v>4.2610619469026547</c:v>
                </c:pt>
                <c:pt idx="5">
                  <c:v>4.1506276150627617</c:v>
                </c:pt>
                <c:pt idx="6">
                  <c:v>2.9659685863874348</c:v>
                </c:pt>
                <c:pt idx="7">
                  <c:v>3.8645215918712954</c:v>
                </c:pt>
                <c:pt idx="8">
                  <c:v>3.9577889447236183</c:v>
                </c:pt>
                <c:pt idx="9">
                  <c:v>3.6727376209447922</c:v>
                </c:pt>
                <c:pt idx="10">
                  <c:v>3.501834862385321</c:v>
                </c:pt>
                <c:pt idx="11">
                  <c:v>3.5074775672981056</c:v>
                </c:pt>
                <c:pt idx="12">
                  <c:v>3.7668196782120833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B1E-47A9-92D0-1530DFB96908}"/>
            </c:ext>
          </c:extLst>
        </c:ser>
        <c:ser>
          <c:idx val="1"/>
          <c:order val="3"/>
          <c:tx>
            <c:strRef>
              <c:f>'EM evol menusual lugar resd'!$M$95:$N$95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B1E-47A9-92D0-1530DFB9690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B1E-47A9-92D0-1530DFB9690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resd'!$M$97:$M$109</c:f>
              <c:numCache>
                <c:formatCode>0.00</c:formatCode>
                <c:ptCount val="13"/>
                <c:pt idx="0">
                  <c:v>3.5494546822113575</c:v>
                </c:pt>
                <c:pt idx="1">
                  <c:v>3.8060805258833197</c:v>
                </c:pt>
                <c:pt idx="2">
                  <c:v>3.5924777045366421</c:v>
                </c:pt>
                <c:pt idx="3">
                  <c:v>3.9579090291921251</c:v>
                </c:pt>
                <c:pt idx="4">
                  <c:v>3.9723160027008779</c:v>
                </c:pt>
                <c:pt idx="5">
                  <c:v>4.2305389221556888</c:v>
                </c:pt>
                <c:pt idx="6">
                  <c:v>3.0176322418136019</c:v>
                </c:pt>
                <c:pt idx="7">
                  <c:v>3.8751069289991444</c:v>
                </c:pt>
                <c:pt idx="8">
                  <c:v>3.7310344827586208</c:v>
                </c:pt>
                <c:pt idx="9">
                  <c:v>3.8062322946175637</c:v>
                </c:pt>
                <c:pt idx="12">
                  <c:v>3.7302075326671793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B1E-47A9-92D0-1530DFB96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B1E-47A9-92D0-1530DFB9690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3.6379794200187092</c:v>
                      </c:pt>
                      <c:pt idx="1">
                        <c:v>3.9038294168842471</c:v>
                      </c:pt>
                      <c:pt idx="2">
                        <c:v>4.0879629629629628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2.9937694704049846</c:v>
                      </c:pt>
                      <c:pt idx="8">
                        <c:v>2.1490683229813663</c:v>
                      </c:pt>
                      <c:pt idx="9">
                        <c:v>1.9975786924939467</c:v>
                      </c:pt>
                      <c:pt idx="10">
                        <c:v>2.193293885601578</c:v>
                      </c:pt>
                      <c:pt idx="11">
                        <c:v>2.4045801526717558</c:v>
                      </c:pt>
                      <c:pt idx="12">
                        <c:v>3.3236155159795073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B1E-47A9-92D0-1530DFB9690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resd'!$N$96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B1E-47A9-92D0-1530DFB9690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B1E-47A9-92D0-1530DFB9690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B1E-47A9-92D0-1530DFB9690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B1E-47A9-92D0-1530DFB9690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B1E-47A9-92D0-1530DFB9690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B1E-47A9-92D0-1530DFB9690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B1E-47A9-92D0-1530DFB9690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B1E-47A9-92D0-1530DFB9690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B1E-47A9-92D0-1530DFB9690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B1E-47A9-92D0-1530DFB9690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B1E-47A9-92D0-1530DFB9690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B1E-47A9-92D0-1530DFB9690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B1E-47A9-92D0-1530DFB96908}"/>
              </c:ext>
            </c:extLst>
          </c:dPt>
          <c:cat>
            <c:strRef>
              <c:f>'EM evol menusual lugar resd'!$B$97:$B$108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resd'!$N$97:$N$109</c:f>
              <c:numCache>
                <c:formatCode>0.00</c:formatCode>
                <c:ptCount val="13"/>
                <c:pt idx="0">
                  <c:v>1.2941524316620878E-2</c:v>
                </c:pt>
                <c:pt idx="1">
                  <c:v>-4.6347395209244802E-2</c:v>
                </c:pt>
                <c:pt idx="2">
                  <c:v>-0.38189138063685935</c:v>
                </c:pt>
                <c:pt idx="3">
                  <c:v>-0.25131481782699794</c:v>
                </c:pt>
                <c:pt idx="4">
                  <c:v>-0.28874594420177679</c:v>
                </c:pt>
                <c:pt idx="5">
                  <c:v>7.9911307092927153E-2</c:v>
                </c:pt>
                <c:pt idx="6">
                  <c:v>5.1663655426167132E-2</c:v>
                </c:pt>
                <c:pt idx="7">
                  <c:v>1.0585337127849037E-2</c:v>
                </c:pt>
                <c:pt idx="8">
                  <c:v>-0.22675446196499749</c:v>
                </c:pt>
                <c:pt idx="9">
                  <c:v>0.13349467367277157</c:v>
                </c:pt>
                <c:pt idx="12">
                  <c:v>-9.9779234492362701E-2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B1E-47A9-92D0-1530DFB96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3E-4D8C-98B0-3C0359E79AE5}"/>
              </c:ext>
            </c:extLst>
          </c:dPt>
          <c:val>
            <c:numRef>
              <c:f>'EM evol menusual lugar resd'!$I$119:$I$131</c:f>
              <c:numCache>
                <c:formatCode>0.00</c:formatCode>
                <c:ptCount val="13"/>
                <c:pt idx="0">
                  <c:v>4.534391534391534</c:v>
                </c:pt>
                <c:pt idx="1">
                  <c:v>4.2433090024330902</c:v>
                </c:pt>
                <c:pt idx="2">
                  <c:v>4.5290697674418601</c:v>
                </c:pt>
                <c:pt idx="3">
                  <c:v>4.4000000000000004</c:v>
                </c:pt>
                <c:pt idx="4">
                  <c:v>3.6912751677852347</c:v>
                </c:pt>
                <c:pt idx="5">
                  <c:v>4.112903225806452</c:v>
                </c:pt>
                <c:pt idx="6">
                  <c:v>2.7749999999999999</c:v>
                </c:pt>
                <c:pt idx="7">
                  <c:v>3.7320261437908497</c:v>
                </c:pt>
                <c:pt idx="8">
                  <c:v>4.6111111111111107</c:v>
                </c:pt>
                <c:pt idx="9">
                  <c:v>3.6555555555555554</c:v>
                </c:pt>
                <c:pt idx="10">
                  <c:v>3.0539568345323742</c:v>
                </c:pt>
                <c:pt idx="11">
                  <c:v>3.865203761755486</c:v>
                </c:pt>
                <c:pt idx="12">
                  <c:v>3.9989266547406084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3E-4D8C-98B0-3C0359E79AE5}"/>
            </c:ext>
          </c:extLst>
        </c:ser>
        <c:ser>
          <c:idx val="0"/>
          <c:order val="2"/>
          <c:tx>
            <c:strRef>
              <c:f>'EM evol menusual lugar resd'!$K$117:$L$117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43E-4D8C-98B0-3C0359E79AE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resd'!$K$119:$K$131</c:f>
              <c:numCache>
                <c:formatCode>0.00</c:formatCode>
                <c:ptCount val="13"/>
                <c:pt idx="0">
                  <c:v>3.3109619686800893</c:v>
                </c:pt>
                <c:pt idx="1">
                  <c:v>4.3813559322033901</c:v>
                </c:pt>
                <c:pt idx="2">
                  <c:v>4.2471910112359552</c:v>
                </c:pt>
                <c:pt idx="3">
                  <c:v>5.560483870967742</c:v>
                </c:pt>
                <c:pt idx="4">
                  <c:v>5.503759398496241</c:v>
                </c:pt>
                <c:pt idx="5">
                  <c:v>4.71</c:v>
                </c:pt>
                <c:pt idx="6">
                  <c:v>2.5705128205128207</c:v>
                </c:pt>
                <c:pt idx="7">
                  <c:v>4.6885245901639347</c:v>
                </c:pt>
                <c:pt idx="8">
                  <c:v>4.2195121951219514</c:v>
                </c:pt>
                <c:pt idx="9">
                  <c:v>4.166666666666667</c:v>
                </c:pt>
                <c:pt idx="10">
                  <c:v>3.359375</c:v>
                </c:pt>
                <c:pt idx="11">
                  <c:v>3.3038461538461537</c:v>
                </c:pt>
                <c:pt idx="12">
                  <c:v>4.0580858085808584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43E-4D8C-98B0-3C0359E79AE5}"/>
            </c:ext>
          </c:extLst>
        </c:ser>
        <c:ser>
          <c:idx val="1"/>
          <c:order val="3"/>
          <c:tx>
            <c:strRef>
              <c:f>'EM evol menusual lugar resd'!$M$117:$N$117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43E-4D8C-98B0-3C0359E79AE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43E-4D8C-98B0-3C0359E79AE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resd'!$M$119:$M$131</c:f>
              <c:numCache>
                <c:formatCode>0.00</c:formatCode>
                <c:ptCount val="13"/>
                <c:pt idx="0">
                  <c:v>3.440203562340967</c:v>
                </c:pt>
                <c:pt idx="1">
                  <c:v>3.6422594142259412</c:v>
                </c:pt>
                <c:pt idx="2">
                  <c:v>3.9305993690851735</c:v>
                </c:pt>
                <c:pt idx="3">
                  <c:v>5.1338582677165352</c:v>
                </c:pt>
                <c:pt idx="4">
                  <c:v>3.8870967741935485</c:v>
                </c:pt>
                <c:pt idx="5">
                  <c:v>4</c:v>
                </c:pt>
                <c:pt idx="6">
                  <c:v>2.9057971014492754</c:v>
                </c:pt>
                <c:pt idx="7">
                  <c:v>4.5194805194805197</c:v>
                </c:pt>
                <c:pt idx="8">
                  <c:v>4.3063063063063067</c:v>
                </c:pt>
                <c:pt idx="9">
                  <c:v>4.6011904761904763</c:v>
                </c:pt>
                <c:pt idx="12">
                  <c:v>3.8734115347018574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43E-4D8C-98B0-3C0359E79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43E-4D8C-98B0-3C0359E79AE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resd'!$C$119:$C$131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4.0140056022408963</c:v>
                      </c:pt>
                      <c:pt idx="1">
                        <c:v>4.5580952380952384</c:v>
                      </c:pt>
                      <c:pt idx="2">
                        <c:v>5.4910714285714288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2.75</c:v>
                      </c:pt>
                      <c:pt idx="8">
                        <c:v>1.75</c:v>
                      </c:pt>
                      <c:pt idx="9">
                        <c:v>1.8</c:v>
                      </c:pt>
                      <c:pt idx="10">
                        <c:v>2.1458333333333335</c:v>
                      </c:pt>
                      <c:pt idx="11">
                        <c:v>1.8378378378378379</c:v>
                      </c:pt>
                      <c:pt idx="12">
                        <c:v>3.8967391304347827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43E-4D8C-98B0-3C0359E79AE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resd'!$N$118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43E-4D8C-98B0-3C0359E79AE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43E-4D8C-98B0-3C0359E79AE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43E-4D8C-98B0-3C0359E79AE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43E-4D8C-98B0-3C0359E79AE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43E-4D8C-98B0-3C0359E79AE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43E-4D8C-98B0-3C0359E79AE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43E-4D8C-98B0-3C0359E79AE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43E-4D8C-98B0-3C0359E79AE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43E-4D8C-98B0-3C0359E79AE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43E-4D8C-98B0-3C0359E79AE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43E-4D8C-98B0-3C0359E79AE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43E-4D8C-98B0-3C0359E79AE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43E-4D8C-98B0-3C0359E79AE5}"/>
              </c:ext>
            </c:extLst>
          </c:dPt>
          <c:cat>
            <c:strRef>
              <c:f>'EM evol menusual lugar resd'!$B$119:$B$130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resd'!$N$119:$N$131</c:f>
              <c:numCache>
                <c:formatCode>0.00</c:formatCode>
                <c:ptCount val="13"/>
                <c:pt idx="0">
                  <c:v>0.12924159366087773</c:v>
                </c:pt>
                <c:pt idx="1">
                  <c:v>-0.73909651797744891</c:v>
                </c:pt>
                <c:pt idx="2">
                  <c:v>-0.31659164215078173</c:v>
                </c:pt>
                <c:pt idx="3">
                  <c:v>-0.4266256032512068</c:v>
                </c:pt>
                <c:pt idx="4">
                  <c:v>-1.6166626243026925</c:v>
                </c:pt>
                <c:pt idx="5">
                  <c:v>-0.71</c:v>
                </c:pt>
                <c:pt idx="6">
                  <c:v>0.33528428093645468</c:v>
                </c:pt>
                <c:pt idx="7">
                  <c:v>-0.16904407068341509</c:v>
                </c:pt>
                <c:pt idx="8">
                  <c:v>8.6794111184355316E-2</c:v>
                </c:pt>
                <c:pt idx="9">
                  <c:v>0.43452380952380931</c:v>
                </c:pt>
                <c:pt idx="12">
                  <c:v>-0.35597622040018306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43E-4D8C-98B0-3C0359E79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6198377665"/>
          <c:y val="0.148808020619044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'EM evol menusual lugar resd'!$I$139:$J$139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3B1-45CC-944F-8BCE43E007A4}"/>
              </c:ext>
            </c:extLst>
          </c:dPt>
          <c:val>
            <c:numRef>
              <c:f>'EM evol menusual lugar resd'!$I$141:$I$153</c:f>
              <c:numCache>
                <c:formatCode>0.00</c:formatCode>
                <c:ptCount val="13"/>
                <c:pt idx="0">
                  <c:v>5.8413043478260871</c:v>
                </c:pt>
                <c:pt idx="1">
                  <c:v>6.4454545454545453</c:v>
                </c:pt>
                <c:pt idx="2">
                  <c:v>6.64</c:v>
                </c:pt>
                <c:pt idx="3">
                  <c:v>6.6480446927374306</c:v>
                </c:pt>
                <c:pt idx="4">
                  <c:v>6.7712765957446805</c:v>
                </c:pt>
                <c:pt idx="5">
                  <c:v>6.4921875</c:v>
                </c:pt>
                <c:pt idx="6">
                  <c:v>3.9537037037037037</c:v>
                </c:pt>
                <c:pt idx="7">
                  <c:v>5.2212765957446807</c:v>
                </c:pt>
                <c:pt idx="8">
                  <c:v>5.801801801801802</c:v>
                </c:pt>
                <c:pt idx="9">
                  <c:v>5.7828947368421053</c:v>
                </c:pt>
                <c:pt idx="10">
                  <c:v>5.8276553106212425</c:v>
                </c:pt>
                <c:pt idx="11">
                  <c:v>4.8246445497630335</c:v>
                </c:pt>
                <c:pt idx="12">
                  <c:v>5.9357629785002626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B1-45CC-944F-8BCE43E007A4}"/>
            </c:ext>
          </c:extLst>
        </c:ser>
        <c:ser>
          <c:idx val="0"/>
          <c:order val="3"/>
          <c:tx>
            <c:strRef>
              <c:f>'EM evol menusual lugar resd'!$K$139:$L$139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3B1-45CC-944F-8BCE43E007A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resd'!$K$141:$K$153</c:f>
              <c:numCache>
                <c:formatCode>0.00</c:formatCode>
                <c:ptCount val="13"/>
                <c:pt idx="0">
                  <c:v>5.5225505443234839</c:v>
                </c:pt>
                <c:pt idx="1">
                  <c:v>5.8026070763500934</c:v>
                </c:pt>
                <c:pt idx="2">
                  <c:v>5.9575221238938054</c:v>
                </c:pt>
                <c:pt idx="3">
                  <c:v>6.6465517241379306</c:v>
                </c:pt>
                <c:pt idx="4">
                  <c:v>6.5785123966942152</c:v>
                </c:pt>
                <c:pt idx="5">
                  <c:v>6.5649350649350646</c:v>
                </c:pt>
                <c:pt idx="6">
                  <c:v>3.661290322580645</c:v>
                </c:pt>
                <c:pt idx="7">
                  <c:v>6.5260115606936413</c:v>
                </c:pt>
                <c:pt idx="8">
                  <c:v>5.8526785714285712</c:v>
                </c:pt>
                <c:pt idx="9">
                  <c:v>5.9803278688524593</c:v>
                </c:pt>
                <c:pt idx="10">
                  <c:v>6.3442265795206971</c:v>
                </c:pt>
                <c:pt idx="11">
                  <c:v>5.3826086956521735</c:v>
                </c:pt>
                <c:pt idx="12">
                  <c:v>5.917572035899858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B1-45CC-944F-8BCE43E007A4}"/>
            </c:ext>
          </c:extLst>
        </c:ser>
        <c:ser>
          <c:idx val="1"/>
          <c:order val="4"/>
          <c:tx>
            <c:strRef>
              <c:f>'EM evol menusual lugar resd'!$M$139:$N$139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3B1-45CC-944F-8BCE43E007A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3B1-45CC-944F-8BCE43E007A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resd'!$M$141:$M$153</c:f>
              <c:numCache>
                <c:formatCode>0.00</c:formatCode>
                <c:ptCount val="13"/>
                <c:pt idx="0">
                  <c:v>5.0589353612167303</c:v>
                </c:pt>
                <c:pt idx="1">
                  <c:v>6.4574257425742578</c:v>
                </c:pt>
                <c:pt idx="2">
                  <c:v>6.3815028901734108</c:v>
                </c:pt>
                <c:pt idx="3">
                  <c:v>6.349152542372881</c:v>
                </c:pt>
                <c:pt idx="4">
                  <c:v>6.7061611374407581</c:v>
                </c:pt>
                <c:pt idx="5">
                  <c:v>8.247863247863247</c:v>
                </c:pt>
                <c:pt idx="6">
                  <c:v>3.1451612903225805</c:v>
                </c:pt>
                <c:pt idx="7">
                  <c:v>5.4790419161676649</c:v>
                </c:pt>
                <c:pt idx="8">
                  <c:v>5.6280193236714977</c:v>
                </c:pt>
                <c:pt idx="9">
                  <c:v>5.8192771084337354</c:v>
                </c:pt>
                <c:pt idx="12">
                  <c:v>5.9570429570429573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3B1-45CC-944F-8BCE43E00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3B1-45CC-944F-8BCE43E007A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resd'!$C$141:$C$153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5.9742388758782203</c:v>
                      </c:pt>
                      <c:pt idx="1">
                        <c:v>5.5458515283842793</c:v>
                      </c:pt>
                      <c:pt idx="2">
                        <c:v>7.397849462365591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3.5697674418604652</c:v>
                      </c:pt>
                      <c:pt idx="8">
                        <c:v>1.7142857142857142</c:v>
                      </c:pt>
                      <c:pt idx="9">
                        <c:v>3.05</c:v>
                      </c:pt>
                      <c:pt idx="10">
                        <c:v>2.0388349514563107</c:v>
                      </c:pt>
                      <c:pt idx="11">
                        <c:v>2.2873563218390807</c:v>
                      </c:pt>
                      <c:pt idx="12">
                        <c:v>5.0459149223497635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3B1-45CC-944F-8BCE43E007A4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'EM evol menusual lugar resd'!$G$139:$H$139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23B1-45CC-944F-8BCE43E007A4}"/>
                    </c:ext>
                  </c:extLst>
                </c:dP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('EM evol menusual lugar resd'!$G$141:$G$152,'EM evol menusual lugar resd'!$G$153)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5.7216828478964405</c:v>
                      </c:pt>
                      <c:pt idx="1">
                        <c:v>6.0282051282051281</c:v>
                      </c:pt>
                      <c:pt idx="2">
                        <c:v>5.8561484918793507</c:v>
                      </c:pt>
                      <c:pt idx="3">
                        <c:v>6.5965909090909092</c:v>
                      </c:pt>
                      <c:pt idx="4">
                        <c:v>7.4578947368421051</c:v>
                      </c:pt>
                      <c:pt idx="5">
                        <c:v>5.2280701754385968</c:v>
                      </c:pt>
                      <c:pt idx="6">
                        <c:v>6.9485294117647056</c:v>
                      </c:pt>
                      <c:pt idx="7">
                        <c:v>5.5595854922279795</c:v>
                      </c:pt>
                      <c:pt idx="8">
                        <c:v>6.1875</c:v>
                      </c:pt>
                      <c:pt idx="9">
                        <c:v>6.6477987421383649</c:v>
                      </c:pt>
                      <c:pt idx="10">
                        <c:v>5.9533169533169534</c:v>
                      </c:pt>
                      <c:pt idx="11">
                        <c:v>5.0775623268698062</c:v>
                      </c:pt>
                      <c:pt idx="12">
                        <c:v>6.0453762205628951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23B1-45CC-944F-8BCE43E007A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'EM evol menusual lugar resd'!$N$140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3B1-45CC-944F-8BCE43E007A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3B1-45CC-944F-8BCE43E007A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3B1-45CC-944F-8BCE43E007A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3B1-45CC-944F-8BCE43E007A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3B1-45CC-944F-8BCE43E007A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3B1-45CC-944F-8BCE43E007A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3B1-45CC-944F-8BCE43E007A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3B1-45CC-944F-8BCE43E007A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3B1-45CC-944F-8BCE43E007A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3B1-45CC-944F-8BCE43E007A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3B1-45CC-944F-8BCE43E007A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3B1-45CC-944F-8BCE43E007A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3B1-45CC-944F-8BCE43E007A4}"/>
              </c:ext>
            </c:extLst>
          </c:dPt>
          <c:cat>
            <c:strRef>
              <c:f>'EM evol menusual lugar resd'!$B$141:$B$152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resd'!$N$141:$N$153</c:f>
              <c:numCache>
                <c:formatCode>0.00</c:formatCode>
                <c:ptCount val="13"/>
                <c:pt idx="0">
                  <c:v>-0.46361518310675365</c:v>
                </c:pt>
                <c:pt idx="1">
                  <c:v>0.6548186662241644</c:v>
                </c:pt>
                <c:pt idx="2">
                  <c:v>0.42398076627960535</c:v>
                </c:pt>
                <c:pt idx="3">
                  <c:v>-0.29739918176504965</c:v>
                </c:pt>
                <c:pt idx="4">
                  <c:v>0.12764874074654298</c:v>
                </c:pt>
                <c:pt idx="5">
                  <c:v>1.6829281829281824</c:v>
                </c:pt>
                <c:pt idx="6">
                  <c:v>-0.5161290322580645</c:v>
                </c:pt>
                <c:pt idx="7">
                  <c:v>-1.0469696445259764</c:v>
                </c:pt>
                <c:pt idx="8">
                  <c:v>-0.22465924775707347</c:v>
                </c:pt>
                <c:pt idx="9">
                  <c:v>-0.1610507604187239</c:v>
                </c:pt>
                <c:pt idx="12">
                  <c:v>2.4312941960000778E-2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3B1-45CC-944F-8BCE43E00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254-4F29-9EA0-C7FA088E97E8}"/>
              </c:ext>
            </c:extLst>
          </c:dPt>
          <c:val>
            <c:numRef>
              <c:f>'EM evol menusual lugar resd'!$I$163:$I$175</c:f>
              <c:numCache>
                <c:formatCode>0.00</c:formatCode>
                <c:ptCount val="13"/>
                <c:pt idx="0">
                  <c:v>2.0614754098360657</c:v>
                </c:pt>
                <c:pt idx="1">
                  <c:v>2.5348258706467663</c:v>
                </c:pt>
                <c:pt idx="2">
                  <c:v>2.4316239316239314</c:v>
                </c:pt>
                <c:pt idx="3">
                  <c:v>2.1666666666666665</c:v>
                </c:pt>
                <c:pt idx="4">
                  <c:v>2.3689320388349513</c:v>
                </c:pt>
                <c:pt idx="5">
                  <c:v>2.4933333333333332</c:v>
                </c:pt>
                <c:pt idx="6">
                  <c:v>2.0376344086021505</c:v>
                </c:pt>
                <c:pt idx="7">
                  <c:v>2.2378048780487805</c:v>
                </c:pt>
                <c:pt idx="8">
                  <c:v>2.3365384615384617</c:v>
                </c:pt>
                <c:pt idx="9">
                  <c:v>1.9482758620689655</c:v>
                </c:pt>
                <c:pt idx="10">
                  <c:v>2.5221238938053099</c:v>
                </c:pt>
                <c:pt idx="11">
                  <c:v>2.2335526315789473</c:v>
                </c:pt>
                <c:pt idx="12">
                  <c:v>2.2913770913770914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54-4F29-9EA0-C7FA088E97E8}"/>
            </c:ext>
          </c:extLst>
        </c:ser>
        <c:ser>
          <c:idx val="0"/>
          <c:order val="2"/>
          <c:tx>
            <c:strRef>
              <c:f>'EM evol menusual lugar resd'!$K$161:$L$161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254-4F29-9EA0-C7FA088E97E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resd'!$K$163:$K$175</c:f>
              <c:numCache>
                <c:formatCode>0.00</c:formatCode>
                <c:ptCount val="13"/>
                <c:pt idx="0">
                  <c:v>2.5740259740259739</c:v>
                </c:pt>
                <c:pt idx="1">
                  <c:v>2.6754385964912282</c:v>
                </c:pt>
                <c:pt idx="2">
                  <c:v>2.6632653061224492</c:v>
                </c:pt>
                <c:pt idx="3">
                  <c:v>2.4542772861356932</c:v>
                </c:pt>
                <c:pt idx="4">
                  <c:v>2.9319727891156462</c:v>
                </c:pt>
                <c:pt idx="5">
                  <c:v>3.6101694915254239</c:v>
                </c:pt>
                <c:pt idx="6">
                  <c:v>3.2391304347826089</c:v>
                </c:pt>
                <c:pt idx="7">
                  <c:v>2.9610778443113772</c:v>
                </c:pt>
                <c:pt idx="8">
                  <c:v>2.7697368421052633</c:v>
                </c:pt>
                <c:pt idx="9">
                  <c:v>2.174825174825175</c:v>
                </c:pt>
                <c:pt idx="10">
                  <c:v>2.103542234332425</c:v>
                </c:pt>
                <c:pt idx="11">
                  <c:v>2.5499999999999998</c:v>
                </c:pt>
                <c:pt idx="12">
                  <c:v>2.6458616010854819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254-4F29-9EA0-C7FA088E97E8}"/>
            </c:ext>
          </c:extLst>
        </c:ser>
        <c:ser>
          <c:idx val="1"/>
          <c:order val="3"/>
          <c:tx>
            <c:strRef>
              <c:f>'EM evol menusual lugar resd'!$M$161:$N$161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254-4F29-9EA0-C7FA088E97E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254-4F29-9EA0-C7FA088E97E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resd'!$M$163:$M$175</c:f>
              <c:numCache>
                <c:formatCode>0.00</c:formatCode>
                <c:ptCount val="13"/>
                <c:pt idx="0">
                  <c:v>2.6155778894472363</c:v>
                </c:pt>
                <c:pt idx="1">
                  <c:v>2.4320388349514563</c:v>
                </c:pt>
                <c:pt idx="2">
                  <c:v>2.4990138067061145</c:v>
                </c:pt>
                <c:pt idx="3">
                  <c:v>2.3902439024390243</c:v>
                </c:pt>
                <c:pt idx="4">
                  <c:v>2.7326388888888888</c:v>
                </c:pt>
                <c:pt idx="5">
                  <c:v>2.8768115942028984</c:v>
                </c:pt>
                <c:pt idx="6">
                  <c:v>2.8321678321678321</c:v>
                </c:pt>
                <c:pt idx="7">
                  <c:v>2.98</c:v>
                </c:pt>
                <c:pt idx="8">
                  <c:v>2.9901960784313726</c:v>
                </c:pt>
                <c:pt idx="9">
                  <c:v>2.3535353535353534</c:v>
                </c:pt>
                <c:pt idx="12">
                  <c:v>2.6246693121693121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254-4F29-9EA0-C7FA088E9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254-4F29-9EA0-C7FA088E97E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resd'!$C$163:$C$175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2.3308641975308642</c:v>
                      </c:pt>
                      <c:pt idx="1">
                        <c:v>2.4140000000000001</c:v>
                      </c:pt>
                      <c:pt idx="2">
                        <c:v>1.97265625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3.2</c:v>
                      </c:pt>
                      <c:pt idx="8">
                        <c:v>2.1666666666666665</c:v>
                      </c:pt>
                      <c:pt idx="9">
                        <c:v>1.7272727272727273</c:v>
                      </c:pt>
                      <c:pt idx="10">
                        <c:v>2.9183673469387754</c:v>
                      </c:pt>
                      <c:pt idx="11">
                        <c:v>2.2029702970297032</c:v>
                      </c:pt>
                      <c:pt idx="12">
                        <c:v>2.3596757852076999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254-4F29-9EA0-C7FA088E97E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resd'!$N$162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254-4F29-9EA0-C7FA088E97E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254-4F29-9EA0-C7FA088E97E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254-4F29-9EA0-C7FA088E97E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254-4F29-9EA0-C7FA088E97E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254-4F29-9EA0-C7FA088E97E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254-4F29-9EA0-C7FA088E97E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254-4F29-9EA0-C7FA088E97E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254-4F29-9EA0-C7FA088E97E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254-4F29-9EA0-C7FA088E97E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254-4F29-9EA0-C7FA088E97E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254-4F29-9EA0-C7FA088E97E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254-4F29-9EA0-C7FA088E97E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254-4F29-9EA0-C7FA088E97E8}"/>
              </c:ext>
            </c:extLst>
          </c:dPt>
          <c:cat>
            <c:strRef>
              <c:f>'EM evol menusual lugar resd'!$B$163:$B$174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resd'!$N$163:$N$175</c:f>
              <c:numCache>
                <c:formatCode>0.00</c:formatCode>
                <c:ptCount val="13"/>
                <c:pt idx="0">
                  <c:v>4.1551915421262464E-2</c:v>
                </c:pt>
                <c:pt idx="1">
                  <c:v>-0.24339976153977183</c:v>
                </c:pt>
                <c:pt idx="2">
                  <c:v>-0.16425149941633466</c:v>
                </c:pt>
                <c:pt idx="3">
                  <c:v>-6.4033383696668889E-2</c:v>
                </c:pt>
                <c:pt idx="4">
                  <c:v>-0.19933390022675734</c:v>
                </c:pt>
                <c:pt idx="5">
                  <c:v>-0.73335789732252543</c:v>
                </c:pt>
                <c:pt idx="6">
                  <c:v>-0.40696260261477679</c:v>
                </c:pt>
                <c:pt idx="7">
                  <c:v>1.8922155688622766E-2</c:v>
                </c:pt>
                <c:pt idx="8">
                  <c:v>0.22045923632610931</c:v>
                </c:pt>
                <c:pt idx="9">
                  <c:v>0.17871017871017836</c:v>
                </c:pt>
                <c:pt idx="12">
                  <c:v>-9.5541352741813856E-2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254-4F29-9EA0-C7FA088E9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6D-4872-A1EC-AC6989A1A021}"/>
              </c:ext>
            </c:extLst>
          </c:dPt>
          <c:val>
            <c:numRef>
              <c:f>'EM evol menusual lugar resd'!$I$185:$I$197</c:f>
              <c:numCache>
                <c:formatCode>0.00</c:formatCode>
                <c:ptCount val="13"/>
                <c:pt idx="0">
                  <c:v>2.5185185185185186</c:v>
                </c:pt>
                <c:pt idx="1">
                  <c:v>3</c:v>
                </c:pt>
                <c:pt idx="2">
                  <c:v>4.253521126760563</c:v>
                </c:pt>
                <c:pt idx="3">
                  <c:v>2.5909090909090908</c:v>
                </c:pt>
                <c:pt idx="4">
                  <c:v>2.59375</c:v>
                </c:pt>
                <c:pt idx="5">
                  <c:v>2.28125</c:v>
                </c:pt>
                <c:pt idx="6">
                  <c:v>2.5813953488372094</c:v>
                </c:pt>
                <c:pt idx="7">
                  <c:v>2.3877551020408165</c:v>
                </c:pt>
                <c:pt idx="8">
                  <c:v>2.9268292682926829</c:v>
                </c:pt>
                <c:pt idx="9">
                  <c:v>2.9</c:v>
                </c:pt>
                <c:pt idx="10">
                  <c:v>2.961904761904762</c:v>
                </c:pt>
                <c:pt idx="11">
                  <c:v>2.0506329113924049</c:v>
                </c:pt>
                <c:pt idx="12">
                  <c:v>2.7876923076923079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6D-4872-A1EC-AC6989A1A021}"/>
            </c:ext>
          </c:extLst>
        </c:ser>
        <c:ser>
          <c:idx val="0"/>
          <c:order val="2"/>
          <c:tx>
            <c:strRef>
              <c:f>'EM evol menusual lugar resd'!$K$183:$L$183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26D-4872-A1EC-AC6989A1A02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resd'!$K$185:$K$197</c:f>
              <c:numCache>
                <c:formatCode>0.00</c:formatCode>
                <c:ptCount val="13"/>
                <c:pt idx="0">
                  <c:v>2.2865497076023393</c:v>
                </c:pt>
                <c:pt idx="1">
                  <c:v>3.2736842105263158</c:v>
                </c:pt>
                <c:pt idx="2">
                  <c:v>3.043010752688172</c:v>
                </c:pt>
                <c:pt idx="3">
                  <c:v>2.6896551724137931</c:v>
                </c:pt>
                <c:pt idx="4">
                  <c:v>1.346938775510204</c:v>
                </c:pt>
                <c:pt idx="5">
                  <c:v>2.8947368421052633</c:v>
                </c:pt>
                <c:pt idx="6">
                  <c:v>2.36</c:v>
                </c:pt>
                <c:pt idx="7">
                  <c:v>2.3050847457627119</c:v>
                </c:pt>
                <c:pt idx="8">
                  <c:v>3.8536585365853657</c:v>
                </c:pt>
                <c:pt idx="9">
                  <c:v>2.736842105263158</c:v>
                </c:pt>
                <c:pt idx="10">
                  <c:v>2.515625</c:v>
                </c:pt>
                <c:pt idx="11">
                  <c:v>2.4335664335664338</c:v>
                </c:pt>
                <c:pt idx="12">
                  <c:v>2.6112956810631229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26D-4872-A1EC-AC6989A1A021}"/>
            </c:ext>
          </c:extLst>
        </c:ser>
        <c:ser>
          <c:idx val="1"/>
          <c:order val="3"/>
          <c:tx>
            <c:strRef>
              <c:f>'EM evol menusual lugar resd'!$M$183:$N$183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26D-4872-A1EC-AC6989A1A02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26D-4872-A1EC-AC6989A1A02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resd'!$M$185:$M$197</c:f>
              <c:numCache>
                <c:formatCode>0.00</c:formatCode>
                <c:ptCount val="13"/>
                <c:pt idx="0">
                  <c:v>2.7923076923076922</c:v>
                </c:pt>
                <c:pt idx="1">
                  <c:v>3.6956521739130435</c:v>
                </c:pt>
                <c:pt idx="2">
                  <c:v>3</c:v>
                </c:pt>
                <c:pt idx="3">
                  <c:v>3.3297872340425534</c:v>
                </c:pt>
                <c:pt idx="4">
                  <c:v>4</c:v>
                </c:pt>
                <c:pt idx="5">
                  <c:v>5.833333333333333</c:v>
                </c:pt>
                <c:pt idx="6">
                  <c:v>4.5641025641025639</c:v>
                </c:pt>
                <c:pt idx="7">
                  <c:v>4.243243243243243</c:v>
                </c:pt>
                <c:pt idx="8">
                  <c:v>3.25</c:v>
                </c:pt>
                <c:pt idx="9">
                  <c:v>3.1969696969696968</c:v>
                </c:pt>
                <c:pt idx="12">
                  <c:v>3.4298507462686567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26D-4872-A1EC-AC6989A1A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26D-4872-A1EC-AC6989A1A02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resd'!$C$185:$C$197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2.408450704225352</c:v>
                      </c:pt>
                      <c:pt idx="1">
                        <c:v>2.7586206896551726</c:v>
                      </c:pt>
                      <c:pt idx="2">
                        <c:v>1.34375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2.6666666666666665</c:v>
                      </c:pt>
                      <c:pt idx="8">
                        <c:v>2.15</c:v>
                      </c:pt>
                      <c:pt idx="9">
                        <c:v>1.8974358974358974</c:v>
                      </c:pt>
                      <c:pt idx="10">
                        <c:v>2.4509803921568629</c:v>
                      </c:pt>
                      <c:pt idx="11">
                        <c:v>1.8</c:v>
                      </c:pt>
                      <c:pt idx="12">
                        <c:v>2.2450142450142452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26D-4872-A1EC-AC6989A1A02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resd'!$N$184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26D-4872-A1EC-AC6989A1A02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26D-4872-A1EC-AC6989A1A02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26D-4872-A1EC-AC6989A1A02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26D-4872-A1EC-AC6989A1A02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26D-4872-A1EC-AC6989A1A02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26D-4872-A1EC-AC6989A1A02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26D-4872-A1EC-AC6989A1A02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26D-4872-A1EC-AC6989A1A02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26D-4872-A1EC-AC6989A1A02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26D-4872-A1EC-AC6989A1A02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26D-4872-A1EC-AC6989A1A02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26D-4872-A1EC-AC6989A1A02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26D-4872-A1EC-AC6989A1A021}"/>
              </c:ext>
            </c:extLst>
          </c:dPt>
          <c:cat>
            <c:strRef>
              <c:f>'EM evol menusual lugar resd'!$B$185:$B$196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resd'!$N$185:$N$197</c:f>
              <c:numCache>
                <c:formatCode>0.00</c:formatCode>
                <c:ptCount val="13"/>
                <c:pt idx="0">
                  <c:v>0.50575798470535283</c:v>
                </c:pt>
                <c:pt idx="1">
                  <c:v>0.42196796338672771</c:v>
                </c:pt>
                <c:pt idx="2">
                  <c:v>-4.3010752688172005E-2</c:v>
                </c:pt>
                <c:pt idx="3">
                  <c:v>0.64013206162876024</c:v>
                </c:pt>
                <c:pt idx="4">
                  <c:v>2.6530612244897958</c:v>
                </c:pt>
                <c:pt idx="5">
                  <c:v>2.9385964912280698</c:v>
                </c:pt>
                <c:pt idx="6">
                  <c:v>2.204102564102564</c:v>
                </c:pt>
                <c:pt idx="7">
                  <c:v>1.938158497480531</c:v>
                </c:pt>
                <c:pt idx="8">
                  <c:v>-0.60365853658536572</c:v>
                </c:pt>
                <c:pt idx="9">
                  <c:v>0.46012759170653883</c:v>
                </c:pt>
                <c:pt idx="12">
                  <c:v>0.77324155086635793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26D-4872-A1EC-AC6989A1A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6B-4C42-B64F-2ACB14CC51DC}"/>
              </c:ext>
            </c:extLst>
          </c:dPt>
          <c:val>
            <c:numRef>
              <c:f>'EM evol menusual lugar resd'!$I$207:$I$219</c:f>
              <c:numCache>
                <c:formatCode>0.00</c:formatCode>
                <c:ptCount val="13"/>
                <c:pt idx="0">
                  <c:v>4.2846715328467155</c:v>
                </c:pt>
                <c:pt idx="1">
                  <c:v>4.5227272727272725</c:v>
                </c:pt>
                <c:pt idx="2">
                  <c:v>3.8451612903225807</c:v>
                </c:pt>
                <c:pt idx="3">
                  <c:v>2.9874999999999998</c:v>
                </c:pt>
                <c:pt idx="4">
                  <c:v>4.8780487804878048</c:v>
                </c:pt>
                <c:pt idx="5">
                  <c:v>4.2333333333333334</c:v>
                </c:pt>
                <c:pt idx="6">
                  <c:v>4.6315789473684212</c:v>
                </c:pt>
                <c:pt idx="7">
                  <c:v>3.3260869565217392</c:v>
                </c:pt>
                <c:pt idx="8">
                  <c:v>6.258064516129032</c:v>
                </c:pt>
                <c:pt idx="9">
                  <c:v>4.092307692307692</c:v>
                </c:pt>
                <c:pt idx="10">
                  <c:v>2.8245614035087718</c:v>
                </c:pt>
                <c:pt idx="11">
                  <c:v>3.2300884955752212</c:v>
                </c:pt>
                <c:pt idx="12">
                  <c:v>3.8624733475479744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6B-4C42-B64F-2ACB14CC51DC}"/>
            </c:ext>
          </c:extLst>
        </c:ser>
        <c:ser>
          <c:idx val="0"/>
          <c:order val="2"/>
          <c:tx>
            <c:strRef>
              <c:f>'EM evol menusual lugar resd'!$K$205:$L$205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46B-4C42-B64F-2ACB14CC51D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resd'!$K$207:$K$219</c:f>
              <c:numCache>
                <c:formatCode>0.00</c:formatCode>
                <c:ptCount val="13"/>
                <c:pt idx="0">
                  <c:v>4.0129870129870131</c:v>
                </c:pt>
                <c:pt idx="1">
                  <c:v>3.5890410958904111</c:v>
                </c:pt>
                <c:pt idx="2">
                  <c:v>3.3227848101265822</c:v>
                </c:pt>
                <c:pt idx="3">
                  <c:v>7.709677419354839</c:v>
                </c:pt>
                <c:pt idx="4">
                  <c:v>5.4523809523809526</c:v>
                </c:pt>
                <c:pt idx="5">
                  <c:v>8.7222222222222214</c:v>
                </c:pt>
                <c:pt idx="6">
                  <c:v>4.6206896551724137</c:v>
                </c:pt>
                <c:pt idx="7">
                  <c:v>5.0930232558139537</c:v>
                </c:pt>
                <c:pt idx="8">
                  <c:v>3.903225806451613</c:v>
                </c:pt>
                <c:pt idx="9">
                  <c:v>1.9620253164556962</c:v>
                </c:pt>
                <c:pt idx="10">
                  <c:v>3.4358974358974357</c:v>
                </c:pt>
                <c:pt idx="11">
                  <c:v>2.8666666666666667</c:v>
                </c:pt>
                <c:pt idx="12">
                  <c:v>4.072883172561629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46B-4C42-B64F-2ACB14CC51DC}"/>
            </c:ext>
          </c:extLst>
        </c:ser>
        <c:ser>
          <c:idx val="1"/>
          <c:order val="3"/>
          <c:tx>
            <c:strRef>
              <c:f>'EM evol menusual lugar resd'!$M$205:$N$205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46B-4C42-B64F-2ACB14CC51D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46B-4C42-B64F-2ACB14CC51D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resd'!$M$207:$M$219</c:f>
              <c:numCache>
                <c:formatCode>0.00</c:formatCode>
                <c:ptCount val="13"/>
                <c:pt idx="0">
                  <c:v>2.6703296703296702</c:v>
                </c:pt>
                <c:pt idx="1">
                  <c:v>3</c:v>
                </c:pt>
                <c:pt idx="2">
                  <c:v>3.0183486238532109</c:v>
                </c:pt>
                <c:pt idx="3">
                  <c:v>2.9375</c:v>
                </c:pt>
                <c:pt idx="4">
                  <c:v>3.9142857142857141</c:v>
                </c:pt>
                <c:pt idx="5">
                  <c:v>4.6969696969696972</c:v>
                </c:pt>
                <c:pt idx="6">
                  <c:v>2.8260869565217392</c:v>
                </c:pt>
                <c:pt idx="7">
                  <c:v>4.2608695652173916</c:v>
                </c:pt>
                <c:pt idx="8">
                  <c:v>4.3181818181818183</c:v>
                </c:pt>
                <c:pt idx="9">
                  <c:v>3.4150943396226414</c:v>
                </c:pt>
                <c:pt idx="12">
                  <c:v>3.1819444444444445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46B-4C42-B64F-2ACB14CC5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46B-4C42-B64F-2ACB14CC51D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resd'!$C$207:$C$219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2.3258426966292136</c:v>
                      </c:pt>
                      <c:pt idx="1">
                        <c:v>3.5098039215686274</c:v>
                      </c:pt>
                      <c:pt idx="2">
                        <c:v>4.1304347826086953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2.1111111111111112</c:v>
                      </c:pt>
                      <c:pt idx="8">
                        <c:v>1</c:v>
                      </c:pt>
                      <c:pt idx="9">
                        <c:v>1.25</c:v>
                      </c:pt>
                      <c:pt idx="10">
                        <c:v>1.3333333333333333</c:v>
                      </c:pt>
                      <c:pt idx="11">
                        <c:v>1</c:v>
                      </c:pt>
                      <c:pt idx="12">
                        <c:v>2.9102167182662537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46B-4C42-B64F-2ACB14CC51D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resd'!$N$206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46B-4C42-B64F-2ACB14CC51D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46B-4C42-B64F-2ACB14CC51D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46B-4C42-B64F-2ACB14CC51D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46B-4C42-B64F-2ACB14CC51D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46B-4C42-B64F-2ACB14CC51D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46B-4C42-B64F-2ACB14CC51D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46B-4C42-B64F-2ACB14CC51D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46B-4C42-B64F-2ACB14CC51D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46B-4C42-B64F-2ACB14CC51D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46B-4C42-B64F-2ACB14CC51D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46B-4C42-B64F-2ACB14CC51D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46B-4C42-B64F-2ACB14CC51D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46B-4C42-B64F-2ACB14CC51DC}"/>
              </c:ext>
            </c:extLst>
          </c:dPt>
          <c:cat>
            <c:strRef>
              <c:f>'EM evol menusual lugar resd'!$B$207:$B$218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resd'!$N$207:$N$219</c:f>
              <c:numCache>
                <c:formatCode>0.00</c:formatCode>
                <c:ptCount val="13"/>
                <c:pt idx="0">
                  <c:v>-1.3426573426573429</c:v>
                </c:pt>
                <c:pt idx="1">
                  <c:v>-0.58904109589041109</c:v>
                </c:pt>
                <c:pt idx="2">
                  <c:v>-0.30443618627337132</c:v>
                </c:pt>
                <c:pt idx="3">
                  <c:v>-4.772177419354839</c:v>
                </c:pt>
                <c:pt idx="4">
                  <c:v>-1.5380952380952384</c:v>
                </c:pt>
                <c:pt idx="5">
                  <c:v>-4.0252525252525242</c:v>
                </c:pt>
                <c:pt idx="6">
                  <c:v>-1.7946026986506745</c:v>
                </c:pt>
                <c:pt idx="7">
                  <c:v>-0.83215369059656208</c:v>
                </c:pt>
                <c:pt idx="8">
                  <c:v>0.41495601173020535</c:v>
                </c:pt>
                <c:pt idx="9">
                  <c:v>1.4530690231669452</c:v>
                </c:pt>
                <c:pt idx="12">
                  <c:v>-1.0706196581196581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46B-4C42-B64F-2ACB14CC5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DC-4AFF-992D-9E6E0201E319}"/>
              </c:ext>
            </c:extLst>
          </c:dPt>
          <c:val>
            <c:numRef>
              <c:f>'EM evol menusual lugar resd'!$I$229:$I$241</c:f>
              <c:numCache>
                <c:formatCode>0.00</c:formatCode>
                <c:ptCount val="13"/>
                <c:pt idx="0">
                  <c:v>2.5185185185185186</c:v>
                </c:pt>
                <c:pt idx="1">
                  <c:v>3</c:v>
                </c:pt>
                <c:pt idx="2">
                  <c:v>4.253521126760563</c:v>
                </c:pt>
                <c:pt idx="3">
                  <c:v>2.5909090909090908</c:v>
                </c:pt>
                <c:pt idx="4">
                  <c:v>2.59375</c:v>
                </c:pt>
                <c:pt idx="5">
                  <c:v>2.28125</c:v>
                </c:pt>
                <c:pt idx="6">
                  <c:v>2.5813953488372094</c:v>
                </c:pt>
                <c:pt idx="7">
                  <c:v>2.3877551020408165</c:v>
                </c:pt>
                <c:pt idx="8">
                  <c:v>2.9268292682926829</c:v>
                </c:pt>
                <c:pt idx="9">
                  <c:v>2.9</c:v>
                </c:pt>
                <c:pt idx="10">
                  <c:v>2.961904761904762</c:v>
                </c:pt>
                <c:pt idx="11">
                  <c:v>2.0506329113924049</c:v>
                </c:pt>
                <c:pt idx="12">
                  <c:v>2.7876923076923079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DC-4AFF-992D-9E6E0201E319}"/>
            </c:ext>
          </c:extLst>
        </c:ser>
        <c:ser>
          <c:idx val="0"/>
          <c:order val="2"/>
          <c:tx>
            <c:strRef>
              <c:f>'EM evol menusual lugar resd'!$K$227:$L$227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2DC-4AFF-992D-9E6E0201E31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resd'!$K$229:$K$241</c:f>
              <c:numCache>
                <c:formatCode>0.00</c:formatCode>
                <c:ptCount val="13"/>
                <c:pt idx="0">
                  <c:v>2.2865497076023393</c:v>
                </c:pt>
                <c:pt idx="1">
                  <c:v>3.2736842105263158</c:v>
                </c:pt>
                <c:pt idx="2">
                  <c:v>3.043010752688172</c:v>
                </c:pt>
                <c:pt idx="3">
                  <c:v>2.6896551724137931</c:v>
                </c:pt>
                <c:pt idx="4">
                  <c:v>1.346938775510204</c:v>
                </c:pt>
                <c:pt idx="5">
                  <c:v>2.8947368421052633</c:v>
                </c:pt>
                <c:pt idx="6">
                  <c:v>2.36</c:v>
                </c:pt>
                <c:pt idx="7">
                  <c:v>2.3050847457627119</c:v>
                </c:pt>
                <c:pt idx="8">
                  <c:v>3.8536585365853657</c:v>
                </c:pt>
                <c:pt idx="9">
                  <c:v>2.736842105263158</c:v>
                </c:pt>
                <c:pt idx="10">
                  <c:v>2.515625</c:v>
                </c:pt>
                <c:pt idx="11">
                  <c:v>2.4335664335664338</c:v>
                </c:pt>
                <c:pt idx="12">
                  <c:v>2.6112956810631229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2DC-4AFF-992D-9E6E0201E319}"/>
            </c:ext>
          </c:extLst>
        </c:ser>
        <c:ser>
          <c:idx val="1"/>
          <c:order val="3"/>
          <c:tx>
            <c:strRef>
              <c:f>'EM evol menusual lugar resd'!$M$227:$N$227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2DC-4AFF-992D-9E6E0201E31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2DC-4AFF-992D-9E6E0201E31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resd'!$M$229:$M$241</c:f>
              <c:numCache>
                <c:formatCode>0.00</c:formatCode>
                <c:ptCount val="13"/>
                <c:pt idx="0">
                  <c:v>2.7923076923076922</c:v>
                </c:pt>
                <c:pt idx="1">
                  <c:v>3.6956521739130435</c:v>
                </c:pt>
                <c:pt idx="2">
                  <c:v>3</c:v>
                </c:pt>
                <c:pt idx="3">
                  <c:v>3.3297872340425534</c:v>
                </c:pt>
                <c:pt idx="4">
                  <c:v>4</c:v>
                </c:pt>
                <c:pt idx="5">
                  <c:v>5.833333333333333</c:v>
                </c:pt>
                <c:pt idx="6">
                  <c:v>4.5641025641025639</c:v>
                </c:pt>
                <c:pt idx="7">
                  <c:v>4.243243243243243</c:v>
                </c:pt>
                <c:pt idx="8">
                  <c:v>3.25</c:v>
                </c:pt>
                <c:pt idx="9">
                  <c:v>3.1969696969696968</c:v>
                </c:pt>
                <c:pt idx="12">
                  <c:v>3.4298507462686567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2DC-4AFF-992D-9E6E0201E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2DC-4AFF-992D-9E6E0201E31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resd'!$C$229:$C$241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2.408450704225352</c:v>
                      </c:pt>
                      <c:pt idx="1">
                        <c:v>2.7586206896551726</c:v>
                      </c:pt>
                      <c:pt idx="2">
                        <c:v>1.34375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2.6666666666666665</c:v>
                      </c:pt>
                      <c:pt idx="8">
                        <c:v>2.15</c:v>
                      </c:pt>
                      <c:pt idx="9">
                        <c:v>1.8974358974358974</c:v>
                      </c:pt>
                      <c:pt idx="10">
                        <c:v>2.4509803921568629</c:v>
                      </c:pt>
                      <c:pt idx="11">
                        <c:v>1.8</c:v>
                      </c:pt>
                      <c:pt idx="12">
                        <c:v>2.2450142450142452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2DC-4AFF-992D-9E6E0201E31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resd'!$N$228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2DC-4AFF-992D-9E6E0201E31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2DC-4AFF-992D-9E6E0201E31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2DC-4AFF-992D-9E6E0201E31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2DC-4AFF-992D-9E6E0201E31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2DC-4AFF-992D-9E6E0201E31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2DC-4AFF-992D-9E6E0201E31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2DC-4AFF-992D-9E6E0201E31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2DC-4AFF-992D-9E6E0201E31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2DC-4AFF-992D-9E6E0201E31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2DC-4AFF-992D-9E6E0201E31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2DC-4AFF-992D-9E6E0201E31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2DC-4AFF-992D-9E6E0201E31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2DC-4AFF-992D-9E6E0201E319}"/>
              </c:ext>
            </c:extLst>
          </c:dPt>
          <c:cat>
            <c:strRef>
              <c:f>'EM evol menusual lugar resd'!$B$229:$B$240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resd'!$N$229:$N$241</c:f>
              <c:numCache>
                <c:formatCode>0.00</c:formatCode>
                <c:ptCount val="13"/>
                <c:pt idx="0">
                  <c:v>0.50575798470535283</c:v>
                </c:pt>
                <c:pt idx="1">
                  <c:v>0.42196796338672771</c:v>
                </c:pt>
                <c:pt idx="2">
                  <c:v>-4.3010752688172005E-2</c:v>
                </c:pt>
                <c:pt idx="3">
                  <c:v>0.64013206162876024</c:v>
                </c:pt>
                <c:pt idx="4">
                  <c:v>2.6530612244897958</c:v>
                </c:pt>
                <c:pt idx="5">
                  <c:v>2.9385964912280698</c:v>
                </c:pt>
                <c:pt idx="6">
                  <c:v>2.204102564102564</c:v>
                </c:pt>
                <c:pt idx="7">
                  <c:v>1.938158497480531</c:v>
                </c:pt>
                <c:pt idx="8">
                  <c:v>-0.60365853658536572</c:v>
                </c:pt>
                <c:pt idx="9">
                  <c:v>0.46012759170653883</c:v>
                </c:pt>
                <c:pt idx="12">
                  <c:v>0.77324155086635793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2DC-4AFF-992D-9E6E0201E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3C-4B2C-8295-069645ADE4D0}"/>
              </c:ext>
            </c:extLst>
          </c:dPt>
          <c:val>
            <c:numRef>
              <c:f>'EM evol menusual lugar resd'!$I$251:$I$263</c:f>
              <c:numCache>
                <c:formatCode>0.00</c:formatCode>
                <c:ptCount val="13"/>
                <c:pt idx="0">
                  <c:v>3.6111111111111112</c:v>
                </c:pt>
                <c:pt idx="1">
                  <c:v>1.8235294117647058</c:v>
                </c:pt>
                <c:pt idx="2">
                  <c:v>2</c:v>
                </c:pt>
                <c:pt idx="3">
                  <c:v>2.625</c:v>
                </c:pt>
                <c:pt idx="4">
                  <c:v>5</c:v>
                </c:pt>
                <c:pt idx="5">
                  <c:v>1</c:v>
                </c:pt>
                <c:pt idx="6">
                  <c:v>3.8888888888888888</c:v>
                </c:pt>
                <c:pt idx="7">
                  <c:v>1</c:v>
                </c:pt>
                <c:pt idx="8">
                  <c:v>3.5</c:v>
                </c:pt>
                <c:pt idx="9">
                  <c:v>1</c:v>
                </c:pt>
                <c:pt idx="10">
                  <c:v>3.4166666666666665</c:v>
                </c:pt>
                <c:pt idx="11">
                  <c:v>2</c:v>
                </c:pt>
                <c:pt idx="12">
                  <c:v>2.7450980392156863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3C-4B2C-8295-069645ADE4D0}"/>
            </c:ext>
          </c:extLst>
        </c:ser>
        <c:ser>
          <c:idx val="0"/>
          <c:order val="2"/>
          <c:tx>
            <c:strRef>
              <c:f>'EM evol menusual lugar resd'!$K$249:$L$249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B3C-4B2C-8295-069645ADE4D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resd'!$K$251:$K$263</c:f>
              <c:numCache>
                <c:formatCode>0.00</c:formatCode>
                <c:ptCount val="13"/>
                <c:pt idx="0">
                  <c:v>2.8793103448275863</c:v>
                </c:pt>
                <c:pt idx="1">
                  <c:v>4.2424242424242422</c:v>
                </c:pt>
                <c:pt idx="2">
                  <c:v>4.7692307692307692</c:v>
                </c:pt>
                <c:pt idx="3">
                  <c:v>0</c:v>
                </c:pt>
                <c:pt idx="4">
                  <c:v>0</c:v>
                </c:pt>
                <c:pt idx="5">
                  <c:v>3.7446808510638299</c:v>
                </c:pt>
                <c:pt idx="6">
                  <c:v>4.5</c:v>
                </c:pt>
                <c:pt idx="7">
                  <c:v>1</c:v>
                </c:pt>
                <c:pt idx="8">
                  <c:v>2.7692307692307692</c:v>
                </c:pt>
                <c:pt idx="9">
                  <c:v>2.4</c:v>
                </c:pt>
                <c:pt idx="10">
                  <c:v>3.0526315789473686</c:v>
                </c:pt>
                <c:pt idx="11">
                  <c:v>2.5</c:v>
                </c:pt>
                <c:pt idx="12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3C-4B2C-8295-069645ADE4D0}"/>
            </c:ext>
          </c:extLst>
        </c:ser>
        <c:ser>
          <c:idx val="1"/>
          <c:order val="3"/>
          <c:tx>
            <c:strRef>
              <c:f>'EM evol menusual lugar resd'!$M$249:$N$249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3C-4B2C-8295-069645ADE4D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3C-4B2C-8295-069645ADE4D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resd'!$M$251:$M$263</c:f>
              <c:numCache>
                <c:formatCode>0.00</c:formatCode>
                <c:ptCount val="13"/>
                <c:pt idx="0">
                  <c:v>3.0909090909090908</c:v>
                </c:pt>
                <c:pt idx="1">
                  <c:v>1.8461538461538463</c:v>
                </c:pt>
                <c:pt idx="2">
                  <c:v>2.6</c:v>
                </c:pt>
                <c:pt idx="3">
                  <c:v>3.6666666666666665</c:v>
                </c:pt>
                <c:pt idx="4">
                  <c:v>6</c:v>
                </c:pt>
                <c:pt idx="5">
                  <c:v>2</c:v>
                </c:pt>
                <c:pt idx="6">
                  <c:v>1.8</c:v>
                </c:pt>
                <c:pt idx="7">
                  <c:v>1</c:v>
                </c:pt>
                <c:pt idx="8">
                  <c:v>4</c:v>
                </c:pt>
                <c:pt idx="9">
                  <c:v>5.5</c:v>
                </c:pt>
                <c:pt idx="12">
                  <c:v>2.4037267080745344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B3C-4B2C-8295-069645ADE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B3C-4B2C-8295-069645ADE4D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resd'!$C$251:$C$263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3.7241379310344827</c:v>
                      </c:pt>
                      <c:pt idx="1">
                        <c:v>4.2941176470588234</c:v>
                      </c:pt>
                      <c:pt idx="2">
                        <c:v>21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</c:v>
                      </c:pt>
                      <c:pt idx="8">
                        <c:v>2</c:v>
                      </c:pt>
                      <c:pt idx="9">
                        <c:v>0</c:v>
                      </c:pt>
                      <c:pt idx="10">
                        <c:v>4.5</c:v>
                      </c:pt>
                      <c:pt idx="11">
                        <c:v>1</c:v>
                      </c:pt>
                      <c:pt idx="12">
                        <c:v>4.830645161290323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B3C-4B2C-8295-069645ADE4D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resd'!$N$250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B3C-4B2C-8295-069645ADE4D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B3C-4B2C-8295-069645ADE4D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B3C-4B2C-8295-069645ADE4D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B3C-4B2C-8295-069645ADE4D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B3C-4B2C-8295-069645ADE4D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B3C-4B2C-8295-069645ADE4D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B3C-4B2C-8295-069645ADE4D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B3C-4B2C-8295-069645ADE4D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B3C-4B2C-8295-069645ADE4D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B3C-4B2C-8295-069645ADE4D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B3C-4B2C-8295-069645ADE4D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B3C-4B2C-8295-069645ADE4D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B3C-4B2C-8295-069645ADE4D0}"/>
              </c:ext>
            </c:extLst>
          </c:dPt>
          <c:cat>
            <c:strRef>
              <c:f>'EM evol menusual lugar resd'!$B$251:$B$262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resd'!$N$251:$N$263</c:f>
              <c:numCache>
                <c:formatCode>0.00</c:formatCode>
                <c:ptCount val="13"/>
                <c:pt idx="0">
                  <c:v>0.21159874608150453</c:v>
                </c:pt>
                <c:pt idx="1">
                  <c:v>-2.396270396270396</c:v>
                </c:pt>
                <c:pt idx="2">
                  <c:v>-2.1692307692307691</c:v>
                </c:pt>
                <c:pt idx="3">
                  <c:v>0</c:v>
                </c:pt>
                <c:pt idx="4">
                  <c:v>0</c:v>
                </c:pt>
                <c:pt idx="5">
                  <c:v>-1.7446808510638299</c:v>
                </c:pt>
                <c:pt idx="6">
                  <c:v>-2.7</c:v>
                </c:pt>
                <c:pt idx="7">
                  <c:v>0</c:v>
                </c:pt>
                <c:pt idx="8">
                  <c:v>1.2307692307692308</c:v>
                </c:pt>
                <c:pt idx="9">
                  <c:v>3.1</c:v>
                </c:pt>
                <c:pt idx="12">
                  <c:v>-1.0856349940531254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B3C-4B2C-8295-069645ADE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D1-4FA9-A329-2754029269A7}"/>
              </c:ext>
            </c:extLst>
          </c:dPt>
          <c:val>
            <c:numRef>
              <c:f>'EM evol menusual lugar resd'!$I$273:$I$285</c:f>
              <c:numCache>
                <c:formatCode>0.00</c:formatCode>
                <c:ptCount val="13"/>
                <c:pt idx="0">
                  <c:v>3.6875</c:v>
                </c:pt>
                <c:pt idx="1">
                  <c:v>3.6875</c:v>
                </c:pt>
                <c:pt idx="2">
                  <c:v>2.763157894736842</c:v>
                </c:pt>
                <c:pt idx="3">
                  <c:v>3</c:v>
                </c:pt>
                <c:pt idx="4">
                  <c:v>10.5</c:v>
                </c:pt>
                <c:pt idx="5">
                  <c:v>5.333333333333333</c:v>
                </c:pt>
                <c:pt idx="6">
                  <c:v>3.2222222222222223</c:v>
                </c:pt>
                <c:pt idx="7">
                  <c:v>2.4285714285714284</c:v>
                </c:pt>
                <c:pt idx="8">
                  <c:v>3.3333333333333335</c:v>
                </c:pt>
                <c:pt idx="9">
                  <c:v>1.625</c:v>
                </c:pt>
                <c:pt idx="10">
                  <c:v>3.03125</c:v>
                </c:pt>
                <c:pt idx="11">
                  <c:v>4.59375</c:v>
                </c:pt>
                <c:pt idx="12">
                  <c:v>3.5185185185185186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D1-4FA9-A329-2754029269A7}"/>
            </c:ext>
          </c:extLst>
        </c:ser>
        <c:ser>
          <c:idx val="0"/>
          <c:order val="2"/>
          <c:tx>
            <c:strRef>
              <c:f>'EM evol menusual lugar resd'!$K$271:$L$271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DD1-4FA9-A329-2754029269A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resd'!$K$273:$K$285</c:f>
              <c:numCache>
                <c:formatCode>0.00</c:formatCode>
                <c:ptCount val="13"/>
                <c:pt idx="0">
                  <c:v>2.7826086956521738</c:v>
                </c:pt>
                <c:pt idx="1">
                  <c:v>4.2</c:v>
                </c:pt>
                <c:pt idx="2">
                  <c:v>3.2857142857142856</c:v>
                </c:pt>
                <c:pt idx="3">
                  <c:v>3.2</c:v>
                </c:pt>
                <c:pt idx="4">
                  <c:v>1.5</c:v>
                </c:pt>
                <c:pt idx="5">
                  <c:v>0</c:v>
                </c:pt>
                <c:pt idx="6">
                  <c:v>1</c:v>
                </c:pt>
                <c:pt idx="7">
                  <c:v>4.5999999999999996</c:v>
                </c:pt>
                <c:pt idx="8">
                  <c:v>2.4</c:v>
                </c:pt>
                <c:pt idx="9">
                  <c:v>4.6923076923076925</c:v>
                </c:pt>
                <c:pt idx="10">
                  <c:v>2.6764705882352939</c:v>
                </c:pt>
                <c:pt idx="11">
                  <c:v>3.8095238095238093</c:v>
                </c:pt>
                <c:pt idx="12">
                  <c:v>3.2395833333333335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D1-4FA9-A329-2754029269A7}"/>
            </c:ext>
          </c:extLst>
        </c:ser>
        <c:ser>
          <c:idx val="1"/>
          <c:order val="3"/>
          <c:tx>
            <c:strRef>
              <c:f>'EM evol menusual lugar resd'!$M$271:$N$271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DD1-4FA9-A329-2754029269A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DD1-4FA9-A329-2754029269A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resd'!$M$273:$M$285</c:f>
              <c:numCache>
                <c:formatCode>0.00</c:formatCode>
                <c:ptCount val="13"/>
                <c:pt idx="0">
                  <c:v>2.4457831325301207</c:v>
                </c:pt>
                <c:pt idx="1">
                  <c:v>1.9090909090909092</c:v>
                </c:pt>
                <c:pt idx="2">
                  <c:v>3.5862068965517242</c:v>
                </c:pt>
                <c:pt idx="3">
                  <c:v>3.8333333333333335</c:v>
                </c:pt>
                <c:pt idx="4">
                  <c:v>5.2</c:v>
                </c:pt>
                <c:pt idx="5">
                  <c:v>7.5</c:v>
                </c:pt>
                <c:pt idx="6">
                  <c:v>3.3333333333333335</c:v>
                </c:pt>
                <c:pt idx="7">
                  <c:v>1.5</c:v>
                </c:pt>
                <c:pt idx="8">
                  <c:v>3.6666666666666665</c:v>
                </c:pt>
                <c:pt idx="9">
                  <c:v>3.8333333333333335</c:v>
                </c:pt>
                <c:pt idx="12">
                  <c:v>3.1073446327683616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DD1-4FA9-A329-275402926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DD1-4FA9-A329-2754029269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resd'!$C$273:$C$285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3.1</c:v>
                      </c:pt>
                      <c:pt idx="1">
                        <c:v>3.7692307692307692</c:v>
                      </c:pt>
                      <c:pt idx="2">
                        <c:v>3.8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</c:v>
                      </c:pt>
                      <c:pt idx="8">
                        <c:v>3</c:v>
                      </c:pt>
                      <c:pt idx="9">
                        <c:v>1.5</c:v>
                      </c:pt>
                      <c:pt idx="10">
                        <c:v>1.6666666666666667</c:v>
                      </c:pt>
                      <c:pt idx="11">
                        <c:v>2</c:v>
                      </c:pt>
                      <c:pt idx="12">
                        <c:v>2.9101123595505616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DD1-4FA9-A329-2754029269A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resd'!$N$272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DD1-4FA9-A329-2754029269A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DD1-4FA9-A329-2754029269A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DD1-4FA9-A329-2754029269A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DD1-4FA9-A329-2754029269A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DD1-4FA9-A329-2754029269A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DD1-4FA9-A329-2754029269A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DD1-4FA9-A329-2754029269A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DD1-4FA9-A329-2754029269A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DD1-4FA9-A329-2754029269A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DD1-4FA9-A329-2754029269A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DD1-4FA9-A329-2754029269A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DD1-4FA9-A329-2754029269A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DD1-4FA9-A329-2754029269A7}"/>
              </c:ext>
            </c:extLst>
          </c:dPt>
          <c:cat>
            <c:strRef>
              <c:f>'EM evol menusual lugar resd'!$B$273:$B$284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resd'!$N$273:$N$285</c:f>
              <c:numCache>
                <c:formatCode>0.00</c:formatCode>
                <c:ptCount val="13"/>
                <c:pt idx="0">
                  <c:v>-0.33682556312205314</c:v>
                </c:pt>
                <c:pt idx="1">
                  <c:v>-2.290909090909091</c:v>
                </c:pt>
                <c:pt idx="2">
                  <c:v>0.30049261083743861</c:v>
                </c:pt>
                <c:pt idx="3">
                  <c:v>0.6333333333333333</c:v>
                </c:pt>
                <c:pt idx="4">
                  <c:v>3.7</c:v>
                </c:pt>
                <c:pt idx="5">
                  <c:v>0</c:v>
                </c:pt>
                <c:pt idx="6">
                  <c:v>2.3333333333333335</c:v>
                </c:pt>
                <c:pt idx="7">
                  <c:v>-3.0999999999999996</c:v>
                </c:pt>
                <c:pt idx="8">
                  <c:v>1.2666666666666666</c:v>
                </c:pt>
                <c:pt idx="9">
                  <c:v>-0.85897435897435903</c:v>
                </c:pt>
                <c:pt idx="12">
                  <c:v>-0.11668134125761265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DD1-4FA9-A329-275402926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F2-406A-A3F3-45FEE02F373F}"/>
              </c:ext>
            </c:extLst>
          </c:dPt>
          <c:val>
            <c:numRef>
              <c:f>'EM evol mensu TF cat '!$I$9:$I$21</c:f>
              <c:numCache>
                <c:formatCode>0.00</c:formatCode>
                <c:ptCount val="13"/>
                <c:pt idx="0">
                  <c:v>2.6628942486085343</c:v>
                </c:pt>
                <c:pt idx="1">
                  <c:v>2.7041745730550284</c:v>
                </c:pt>
                <c:pt idx="2">
                  <c:v>2.7572009188902631</c:v>
                </c:pt>
                <c:pt idx="3">
                  <c:v>2.4570599613152804</c:v>
                </c:pt>
                <c:pt idx="4">
                  <c:v>2.5519648912826649</c:v>
                </c:pt>
                <c:pt idx="5">
                  <c:v>2.4809854101889499</c:v>
                </c:pt>
                <c:pt idx="6">
                  <c:v>2.2105990783410139</c:v>
                </c:pt>
                <c:pt idx="7">
                  <c:v>2.5556512378902045</c:v>
                </c:pt>
                <c:pt idx="8">
                  <c:v>2.3459411634594116</c:v>
                </c:pt>
                <c:pt idx="9">
                  <c:v>2.5134645847476804</c:v>
                </c:pt>
                <c:pt idx="10">
                  <c:v>2.6623690572119258</c:v>
                </c:pt>
                <c:pt idx="11">
                  <c:v>2.587568157033806</c:v>
                </c:pt>
                <c:pt idx="12">
                  <c:v>2.5505786061867015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F2-406A-A3F3-45FEE02F373F}"/>
            </c:ext>
          </c:extLst>
        </c:ser>
        <c:ser>
          <c:idx val="0"/>
          <c:order val="2"/>
          <c:tx>
            <c:strRef>
              <c:f>'EM evol mensu TF cat 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8F2-406A-A3F3-45FEE02F373F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'!$K$9:$K$21</c:f>
              <c:numCache>
                <c:formatCode>0.00</c:formatCode>
                <c:ptCount val="13"/>
                <c:pt idx="0">
                  <c:v>2.7949012842629863</c:v>
                </c:pt>
                <c:pt idx="1">
                  <c:v>3.1517801374141161</c:v>
                </c:pt>
                <c:pt idx="2">
                  <c:v>2.9589783281733748</c:v>
                </c:pt>
                <c:pt idx="3">
                  <c:v>2.6590819153146024</c:v>
                </c:pt>
                <c:pt idx="4">
                  <c:v>2.5066105769230771</c:v>
                </c:pt>
                <c:pt idx="5">
                  <c:v>2.5517154389505552</c:v>
                </c:pt>
                <c:pt idx="6">
                  <c:v>2.2077073807968648</c:v>
                </c:pt>
                <c:pt idx="7">
                  <c:v>3.1938599517074855</c:v>
                </c:pt>
                <c:pt idx="8">
                  <c:v>2.2301946137212503</c:v>
                </c:pt>
                <c:pt idx="9">
                  <c:v>2.4775360845700347</c:v>
                </c:pt>
                <c:pt idx="10">
                  <c:v>2.7401171303074672</c:v>
                </c:pt>
                <c:pt idx="11">
                  <c:v>2.5476281560826322</c:v>
                </c:pt>
                <c:pt idx="12">
                  <c:v>2.6538649194953647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8F2-406A-A3F3-45FEE02F373F}"/>
            </c:ext>
          </c:extLst>
        </c:ser>
        <c:ser>
          <c:idx val="1"/>
          <c:order val="3"/>
          <c:tx>
            <c:strRef>
              <c:f>'EM evol mensu TF cat 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8F2-406A-A3F3-45FEE02F373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8F2-406A-A3F3-45FEE02F373F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'!$M$9:$M$21</c:f>
              <c:numCache>
                <c:formatCode>0.00</c:formatCode>
                <c:ptCount val="13"/>
                <c:pt idx="0">
                  <c:v>2.6840519676143852</c:v>
                </c:pt>
                <c:pt idx="1">
                  <c:v>3.1261325703385787</c:v>
                </c:pt>
                <c:pt idx="2">
                  <c:v>2.6383377012354923</c:v>
                </c:pt>
                <c:pt idx="3">
                  <c:v>2.7806406685236769</c:v>
                </c:pt>
                <c:pt idx="4">
                  <c:v>2.6832733093237295</c:v>
                </c:pt>
                <c:pt idx="5">
                  <c:v>2.8302986161689732</c:v>
                </c:pt>
                <c:pt idx="6">
                  <c:v>2.7481440747869121</c:v>
                </c:pt>
                <c:pt idx="7">
                  <c:v>2.856691765848919</c:v>
                </c:pt>
                <c:pt idx="8">
                  <c:v>2.4850695235924323</c:v>
                </c:pt>
                <c:pt idx="9">
                  <c:v>2.4095158597662771</c:v>
                </c:pt>
                <c:pt idx="12">
                  <c:v>2.7066999978449671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8F2-406A-A3F3-45FEE02F3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8F2-406A-A3F3-45FEE02F373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2.6174716182412929</c:v>
                      </c:pt>
                      <c:pt idx="1">
                        <c:v>2.6762455682030231</c:v>
                      </c:pt>
                      <c:pt idx="2">
                        <c:v>2.599636032757052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2.499459848757652</c:v>
                      </c:pt>
                      <c:pt idx="8">
                        <c:v>2.135487528344671</c:v>
                      </c:pt>
                      <c:pt idx="9">
                        <c:v>2.0425170068027212</c:v>
                      </c:pt>
                      <c:pt idx="10">
                        <c:v>2.0164492342597846</c:v>
                      </c:pt>
                      <c:pt idx="11">
                        <c:v>2.2569676700111483</c:v>
                      </c:pt>
                      <c:pt idx="12">
                        <c:v>2.437843193922629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8F2-406A-A3F3-45FEE02F373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'!$N$8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8F2-406A-A3F3-45FEE02F373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8F2-406A-A3F3-45FEE02F373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8F2-406A-A3F3-45FEE02F373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8F2-406A-A3F3-45FEE02F373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8F2-406A-A3F3-45FEE02F373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8F2-406A-A3F3-45FEE02F373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8F2-406A-A3F3-45FEE02F373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8F2-406A-A3F3-45FEE02F373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8F2-406A-A3F3-45FEE02F373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8F2-406A-A3F3-45FEE02F373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8F2-406A-A3F3-45FEE02F373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8F2-406A-A3F3-45FEE02F373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8F2-406A-A3F3-45FEE02F373F}"/>
              </c:ext>
            </c:extLst>
          </c:dPt>
          <c:cat>
            <c:strRef>
              <c:f>'EM evol mensu TF cat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'!$N$9:$N$21</c:f>
              <c:numCache>
                <c:formatCode>0.00</c:formatCode>
                <c:ptCount val="13"/>
                <c:pt idx="0">
                  <c:v>-0.11084931664860109</c:v>
                </c:pt>
                <c:pt idx="1">
                  <c:v>-2.5647567075537392E-2</c:v>
                </c:pt>
                <c:pt idx="2">
                  <c:v>-0.32064062693788253</c:v>
                </c:pt>
                <c:pt idx="3">
                  <c:v>0.1215587532090745</c:v>
                </c:pt>
                <c:pt idx="4">
                  <c:v>0.17666273240065244</c:v>
                </c:pt>
                <c:pt idx="5">
                  <c:v>0.27858317721841797</c:v>
                </c:pt>
                <c:pt idx="6">
                  <c:v>0.54043669399004735</c:v>
                </c:pt>
                <c:pt idx="7">
                  <c:v>-0.33716818585856645</c:v>
                </c:pt>
                <c:pt idx="8">
                  <c:v>0.254874909871182</c:v>
                </c:pt>
                <c:pt idx="9">
                  <c:v>-6.8020224803757579E-2</c:v>
                </c:pt>
                <c:pt idx="12">
                  <c:v>5.1033559606145751E-2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8F2-406A-A3F3-45FEE02F3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79-45F3-8B16-32CC7CFC9248}"/>
              </c:ext>
            </c:extLst>
          </c:dPt>
          <c:val>
            <c:numRef>
              <c:f>'Viajeros entr evol mensu TF'!$I$119:$I$131</c:f>
              <c:numCache>
                <c:formatCode>#,##0</c:formatCode>
                <c:ptCount val="13"/>
                <c:pt idx="0">
                  <c:v>378</c:v>
                </c:pt>
                <c:pt idx="1">
                  <c:v>411</c:v>
                </c:pt>
                <c:pt idx="2">
                  <c:v>344</c:v>
                </c:pt>
                <c:pt idx="3">
                  <c:v>155</c:v>
                </c:pt>
                <c:pt idx="4">
                  <c:v>149</c:v>
                </c:pt>
                <c:pt idx="5">
                  <c:v>124</c:v>
                </c:pt>
                <c:pt idx="6">
                  <c:v>160</c:v>
                </c:pt>
                <c:pt idx="7">
                  <c:v>153</c:v>
                </c:pt>
                <c:pt idx="8">
                  <c:v>144</c:v>
                </c:pt>
                <c:pt idx="9">
                  <c:v>180</c:v>
                </c:pt>
                <c:pt idx="10">
                  <c:v>278</c:v>
                </c:pt>
                <c:pt idx="11">
                  <c:v>319</c:v>
                </c:pt>
                <c:pt idx="12">
                  <c:v>2795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79-45F3-8B16-32CC7CFC9248}"/>
            </c:ext>
          </c:extLst>
        </c:ser>
        <c:ser>
          <c:idx val="0"/>
          <c:order val="2"/>
          <c:tx>
            <c:strRef>
              <c:f>'Viajeros entr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679-45F3-8B16-32CC7CFC924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TF'!$K$119:$K$131</c:f>
              <c:numCache>
                <c:formatCode>#,##0</c:formatCode>
                <c:ptCount val="13"/>
                <c:pt idx="0">
                  <c:v>447</c:v>
                </c:pt>
                <c:pt idx="1">
                  <c:v>472</c:v>
                </c:pt>
                <c:pt idx="2">
                  <c:v>445</c:v>
                </c:pt>
                <c:pt idx="3">
                  <c:v>248</c:v>
                </c:pt>
                <c:pt idx="4">
                  <c:v>133</c:v>
                </c:pt>
                <c:pt idx="5">
                  <c:v>100</c:v>
                </c:pt>
                <c:pt idx="6">
                  <c:v>156</c:v>
                </c:pt>
                <c:pt idx="7">
                  <c:v>122</c:v>
                </c:pt>
                <c:pt idx="8">
                  <c:v>123</c:v>
                </c:pt>
                <c:pt idx="9">
                  <c:v>204</c:v>
                </c:pt>
                <c:pt idx="10">
                  <c:v>320</c:v>
                </c:pt>
                <c:pt idx="11">
                  <c:v>260</c:v>
                </c:pt>
                <c:pt idx="12">
                  <c:v>3030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79-45F3-8B16-32CC7CFC9248}"/>
            </c:ext>
          </c:extLst>
        </c:ser>
        <c:ser>
          <c:idx val="1"/>
          <c:order val="3"/>
          <c:tx>
            <c:strRef>
              <c:f>'Viajeros entr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79-45F3-8B16-32CC7CFC924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679-45F3-8B16-32CC7CFC924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TF'!$M$119:$M$131</c:f>
              <c:numCache>
                <c:formatCode>#,##0</c:formatCode>
                <c:ptCount val="13"/>
                <c:pt idx="0">
                  <c:v>393</c:v>
                </c:pt>
                <c:pt idx="1">
                  <c:v>478</c:v>
                </c:pt>
                <c:pt idx="2">
                  <c:v>317</c:v>
                </c:pt>
                <c:pt idx="3">
                  <c:v>127</c:v>
                </c:pt>
                <c:pt idx="4">
                  <c:v>124</c:v>
                </c:pt>
                <c:pt idx="5">
                  <c:v>113</c:v>
                </c:pt>
                <c:pt idx="6">
                  <c:v>138</c:v>
                </c:pt>
                <c:pt idx="7">
                  <c:v>77</c:v>
                </c:pt>
                <c:pt idx="8">
                  <c:v>111</c:v>
                </c:pt>
                <c:pt idx="9">
                  <c:v>168</c:v>
                </c:pt>
                <c:pt idx="12">
                  <c:v>2046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679-45F3-8B16-32CC7CFC9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679-45F3-8B16-32CC7CFC924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357</c:v>
                      </c:pt>
                      <c:pt idx="1">
                        <c:v>525</c:v>
                      </c:pt>
                      <c:pt idx="2">
                        <c:v>112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24</c:v>
                      </c:pt>
                      <c:pt idx="8">
                        <c:v>24</c:v>
                      </c:pt>
                      <c:pt idx="9">
                        <c:v>50</c:v>
                      </c:pt>
                      <c:pt idx="10">
                        <c:v>96</c:v>
                      </c:pt>
                      <c:pt idx="11">
                        <c:v>74</c:v>
                      </c:pt>
                      <c:pt idx="12">
                        <c:v>1288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679-45F3-8B16-32CC7CFC924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679-45F3-8B16-32CC7CFC924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679-45F3-8B16-32CC7CFC924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679-45F3-8B16-32CC7CFC924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679-45F3-8B16-32CC7CFC924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679-45F3-8B16-32CC7CFC924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679-45F3-8B16-32CC7CFC924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679-45F3-8B16-32CC7CFC924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679-45F3-8B16-32CC7CFC924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679-45F3-8B16-32CC7CFC924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679-45F3-8B16-32CC7CFC924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679-45F3-8B16-32CC7CFC924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679-45F3-8B16-32CC7CFC924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679-45F3-8B16-32CC7CFC9248}"/>
              </c:ext>
            </c:extLst>
          </c:dPt>
          <c:cat>
            <c:strRef>
              <c:f>'Viajeros entr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TF'!$N$119:$N$131</c:f>
              <c:numCache>
                <c:formatCode>0.0%</c:formatCode>
                <c:ptCount val="13"/>
                <c:pt idx="0">
                  <c:v>-0.12080536912751683</c:v>
                </c:pt>
                <c:pt idx="1">
                  <c:v>1.2711864406779627E-2</c:v>
                </c:pt>
                <c:pt idx="2">
                  <c:v>-0.28764044943820222</c:v>
                </c:pt>
                <c:pt idx="3">
                  <c:v>-0.48790322580645162</c:v>
                </c:pt>
                <c:pt idx="4">
                  <c:v>-6.7669172932330879E-2</c:v>
                </c:pt>
                <c:pt idx="5">
                  <c:v>0.12999999999999989</c:v>
                </c:pt>
                <c:pt idx="6">
                  <c:v>-0.11538461538461542</c:v>
                </c:pt>
                <c:pt idx="7">
                  <c:v>-0.36885245901639341</c:v>
                </c:pt>
                <c:pt idx="8">
                  <c:v>-9.7560975609756073E-2</c:v>
                </c:pt>
                <c:pt idx="9">
                  <c:v>-0.17647058823529416</c:v>
                </c:pt>
                <c:pt idx="12">
                  <c:v>-0.16489795918367345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679-45F3-8B16-32CC7CFC9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B9-490B-8A43-9D6D4796D525}"/>
              </c:ext>
            </c:extLst>
          </c:dPt>
          <c:val>
            <c:numRef>
              <c:f>'EM evol mensu TF cat '!$I$31:$I$43</c:f>
              <c:numCache>
                <c:formatCode>0.00</c:formatCode>
                <c:ptCount val="13"/>
                <c:pt idx="0">
                  <c:v>2.6628942486085343</c:v>
                </c:pt>
                <c:pt idx="1">
                  <c:v>2.7041745730550284</c:v>
                </c:pt>
                <c:pt idx="2">
                  <c:v>2.7572009188902631</c:v>
                </c:pt>
                <c:pt idx="3">
                  <c:v>2.4570599613152804</c:v>
                </c:pt>
                <c:pt idx="4">
                  <c:v>2.5519648912826649</c:v>
                </c:pt>
                <c:pt idx="5">
                  <c:v>2.4809854101889499</c:v>
                </c:pt>
                <c:pt idx="6">
                  <c:v>2.2105990783410139</c:v>
                </c:pt>
                <c:pt idx="7">
                  <c:v>2.5556512378902045</c:v>
                </c:pt>
                <c:pt idx="8">
                  <c:v>2.3459411634594116</c:v>
                </c:pt>
                <c:pt idx="9">
                  <c:v>2.5134645847476804</c:v>
                </c:pt>
                <c:pt idx="10">
                  <c:v>2.6623690572119258</c:v>
                </c:pt>
                <c:pt idx="11">
                  <c:v>2.587568157033806</c:v>
                </c:pt>
                <c:pt idx="12">
                  <c:v>2.5505786061867015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B9-490B-8A43-9D6D4796D525}"/>
            </c:ext>
          </c:extLst>
        </c:ser>
        <c:ser>
          <c:idx val="0"/>
          <c:order val="2"/>
          <c:tx>
            <c:strRef>
              <c:f>'EM evol mensu TF cat 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2B9-490B-8A43-9D6D4796D525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'!$K$31:$K$43</c:f>
              <c:numCache>
                <c:formatCode>0.00</c:formatCode>
                <c:ptCount val="13"/>
                <c:pt idx="0">
                  <c:v>2.7949012842629863</c:v>
                </c:pt>
                <c:pt idx="1">
                  <c:v>3.1517801374141161</c:v>
                </c:pt>
                <c:pt idx="2">
                  <c:v>2.9589783281733748</c:v>
                </c:pt>
                <c:pt idx="3">
                  <c:v>2.6590819153146024</c:v>
                </c:pt>
                <c:pt idx="4">
                  <c:v>2.5066105769230771</c:v>
                </c:pt>
                <c:pt idx="5">
                  <c:v>2.5517154389505552</c:v>
                </c:pt>
                <c:pt idx="6">
                  <c:v>2.2077073807968648</c:v>
                </c:pt>
                <c:pt idx="7">
                  <c:v>3.1938599517074855</c:v>
                </c:pt>
                <c:pt idx="8">
                  <c:v>2.2301946137212503</c:v>
                </c:pt>
                <c:pt idx="9">
                  <c:v>2.4775360845700347</c:v>
                </c:pt>
                <c:pt idx="10">
                  <c:v>2.7401171303074672</c:v>
                </c:pt>
                <c:pt idx="11">
                  <c:v>2.5476281560826322</c:v>
                </c:pt>
                <c:pt idx="12">
                  <c:v>2.6538649194953647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B9-490B-8A43-9D6D4796D525}"/>
            </c:ext>
          </c:extLst>
        </c:ser>
        <c:ser>
          <c:idx val="1"/>
          <c:order val="3"/>
          <c:tx>
            <c:strRef>
              <c:f>'EM evol mensu TF cat 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2B9-490B-8A43-9D6D4796D52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2B9-490B-8A43-9D6D4796D525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'!$M$31:$M$43</c:f>
              <c:numCache>
                <c:formatCode>0.00</c:formatCode>
                <c:ptCount val="13"/>
                <c:pt idx="0">
                  <c:v>2.6840519676143852</c:v>
                </c:pt>
                <c:pt idx="1">
                  <c:v>3.1261325703385787</c:v>
                </c:pt>
                <c:pt idx="2">
                  <c:v>2.6383377012354923</c:v>
                </c:pt>
                <c:pt idx="3">
                  <c:v>2.7806406685236769</c:v>
                </c:pt>
                <c:pt idx="4">
                  <c:v>2.6832733093237295</c:v>
                </c:pt>
                <c:pt idx="5">
                  <c:v>2.8302986161689732</c:v>
                </c:pt>
                <c:pt idx="6">
                  <c:v>2.7481440747869121</c:v>
                </c:pt>
                <c:pt idx="7">
                  <c:v>2.856691765848919</c:v>
                </c:pt>
                <c:pt idx="8">
                  <c:v>2.4850695235924323</c:v>
                </c:pt>
                <c:pt idx="9">
                  <c:v>2.4095158597662771</c:v>
                </c:pt>
                <c:pt idx="12">
                  <c:v>2.7066999978449671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2B9-490B-8A43-9D6D4796D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2B9-490B-8A43-9D6D4796D52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2.6174716182412929</c:v>
                      </c:pt>
                      <c:pt idx="1">
                        <c:v>2.6762455682030231</c:v>
                      </c:pt>
                      <c:pt idx="2">
                        <c:v>2.599636032757052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2.499459848757652</c:v>
                      </c:pt>
                      <c:pt idx="8">
                        <c:v>2.135487528344671</c:v>
                      </c:pt>
                      <c:pt idx="9">
                        <c:v>2.0425170068027212</c:v>
                      </c:pt>
                      <c:pt idx="10">
                        <c:v>2.0164492342597846</c:v>
                      </c:pt>
                      <c:pt idx="11">
                        <c:v>2.2569676700111483</c:v>
                      </c:pt>
                      <c:pt idx="12">
                        <c:v>2.437843193922629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2B9-490B-8A43-9D6D4796D52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'!$N$30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2B9-490B-8A43-9D6D4796D52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2B9-490B-8A43-9D6D4796D52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2B9-490B-8A43-9D6D4796D52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2B9-490B-8A43-9D6D4796D52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2B9-490B-8A43-9D6D4796D52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2B9-490B-8A43-9D6D4796D52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2B9-490B-8A43-9D6D4796D52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2B9-490B-8A43-9D6D4796D52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2B9-490B-8A43-9D6D4796D52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2B9-490B-8A43-9D6D4796D52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2B9-490B-8A43-9D6D4796D52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2B9-490B-8A43-9D6D4796D52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2B9-490B-8A43-9D6D4796D525}"/>
              </c:ext>
            </c:extLst>
          </c:dPt>
          <c:cat>
            <c:strRef>
              <c:f>'EM evol mensu TF cat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'!$N$31:$N$43</c:f>
              <c:numCache>
                <c:formatCode>0.00</c:formatCode>
                <c:ptCount val="13"/>
                <c:pt idx="0">
                  <c:v>-0.11084931664860109</c:v>
                </c:pt>
                <c:pt idx="1">
                  <c:v>-2.5647567075537392E-2</c:v>
                </c:pt>
                <c:pt idx="2">
                  <c:v>-0.32064062693788253</c:v>
                </c:pt>
                <c:pt idx="3">
                  <c:v>0.1215587532090745</c:v>
                </c:pt>
                <c:pt idx="4">
                  <c:v>0.17666273240065244</c:v>
                </c:pt>
                <c:pt idx="5">
                  <c:v>0.27858317721841797</c:v>
                </c:pt>
                <c:pt idx="6">
                  <c:v>0.54043669399004735</c:v>
                </c:pt>
                <c:pt idx="7">
                  <c:v>-0.33716818585856645</c:v>
                </c:pt>
                <c:pt idx="8">
                  <c:v>0.254874909871182</c:v>
                </c:pt>
                <c:pt idx="9">
                  <c:v>-6.8020224803757579E-2</c:v>
                </c:pt>
                <c:pt idx="12">
                  <c:v>5.1033559606145751E-2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2B9-490B-8A43-9D6D4796D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5D-4FD1-9B1A-AE96912950BC}"/>
              </c:ext>
            </c:extLst>
          </c:dPt>
          <c:val>
            <c:numRef>
              <c:f>'EM evol mensu TF cat '!$I$53:$I$65</c:f>
              <c:numCache>
                <c:formatCode>0.00</c:formatCode>
                <c:ptCount val="13"/>
                <c:pt idx="0">
                  <c:v>2.7950872656755008</c:v>
                </c:pt>
                <c:pt idx="1">
                  <c:v>2.8731359893167148</c:v>
                </c:pt>
                <c:pt idx="2">
                  <c:v>2.9364389233954453</c:v>
                </c:pt>
                <c:pt idx="3">
                  <c:v>2.5746586075665996</c:v>
                </c:pt>
                <c:pt idx="4">
                  <c:v>2.6306366047745358</c:v>
                </c:pt>
                <c:pt idx="5">
                  <c:v>2.5592901317558483</c:v>
                </c:pt>
                <c:pt idx="6">
                  <c:v>0</c:v>
                </c:pt>
                <c:pt idx="7">
                  <c:v>0</c:v>
                </c:pt>
                <c:pt idx="8">
                  <c:v>2.3941569695469176</c:v>
                </c:pt>
                <c:pt idx="9">
                  <c:v>2.651506996770721</c:v>
                </c:pt>
                <c:pt idx="10">
                  <c:v>2.8276945384243595</c:v>
                </c:pt>
                <c:pt idx="11">
                  <c:v>2.7499333511063715</c:v>
                </c:pt>
                <c:pt idx="12">
                  <c:v>2.6597626112759643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5D-4FD1-9B1A-AE96912950BC}"/>
            </c:ext>
          </c:extLst>
        </c:ser>
        <c:ser>
          <c:idx val="0"/>
          <c:order val="2"/>
          <c:tx>
            <c:strRef>
              <c:f>'EM evol mensu TF cat 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F5D-4FD1-9B1A-AE96912950BC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'!$K$53:$K$65</c:f>
              <c:numCache>
                <c:formatCode>0.00</c:formatCode>
                <c:ptCount val="13"/>
                <c:pt idx="0">
                  <c:v>2.9186357556843512</c:v>
                </c:pt>
                <c:pt idx="1">
                  <c:v>3.347750434998757</c:v>
                </c:pt>
                <c:pt idx="2">
                  <c:v>3.1342297174111211</c:v>
                </c:pt>
                <c:pt idx="3">
                  <c:v>2.7839800317676424</c:v>
                </c:pt>
                <c:pt idx="4">
                  <c:v>2.5609430604982206</c:v>
                </c:pt>
                <c:pt idx="5">
                  <c:v>2.6040229885057471</c:v>
                </c:pt>
                <c:pt idx="6">
                  <c:v>2.2533062054933874</c:v>
                </c:pt>
                <c:pt idx="7">
                  <c:v>3.3068565005620081</c:v>
                </c:pt>
                <c:pt idx="8">
                  <c:v>2.2749944333110665</c:v>
                </c:pt>
                <c:pt idx="9">
                  <c:v>2.6273516642547032</c:v>
                </c:pt>
                <c:pt idx="10">
                  <c:v>2.9430714916151808</c:v>
                </c:pt>
                <c:pt idx="11">
                  <c:v>2.6366930917327291</c:v>
                </c:pt>
                <c:pt idx="12">
                  <c:v>2.7683008187607401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5D-4FD1-9B1A-AE96912950BC}"/>
            </c:ext>
          </c:extLst>
        </c:ser>
        <c:ser>
          <c:idx val="1"/>
          <c:order val="3"/>
          <c:tx>
            <c:strRef>
              <c:f>'EM evol mensu TF cat 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F5D-4FD1-9B1A-AE96912950B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F5D-4FD1-9B1A-AE96912950BC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'!$M$53:$M$65</c:f>
              <c:numCache>
                <c:formatCode>0.00</c:formatCode>
                <c:ptCount val="13"/>
                <c:pt idx="0">
                  <c:v>2.8401337792642138</c:v>
                </c:pt>
                <c:pt idx="1">
                  <c:v>3.4421083802191292</c:v>
                </c:pt>
                <c:pt idx="2">
                  <c:v>2.7850322007550523</c:v>
                </c:pt>
                <c:pt idx="3">
                  <c:v>2.9443530701754388</c:v>
                </c:pt>
                <c:pt idx="4">
                  <c:v>2.8007017543859649</c:v>
                </c:pt>
                <c:pt idx="5">
                  <c:v>3.045272206303725</c:v>
                </c:pt>
                <c:pt idx="6">
                  <c:v>2.8266793409378961</c:v>
                </c:pt>
                <c:pt idx="7">
                  <c:v>2.9710798620323695</c:v>
                </c:pt>
                <c:pt idx="8">
                  <c:v>2.5774424146147736</c:v>
                </c:pt>
                <c:pt idx="9">
                  <c:v>2.4928266770065917</c:v>
                </c:pt>
                <c:pt idx="12">
                  <c:v>2.8497149200262375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5D-4FD1-9B1A-AE9691295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F5D-4FD1-9B1A-AE96912950B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3.0477990818255467</c:v>
                      </c:pt>
                      <c:pt idx="1">
                        <c:v>3.1402388225492919</c:v>
                      </c:pt>
                      <c:pt idx="2">
                        <c:v>3.2750179985601151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F5D-4FD1-9B1A-AE96912950B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'!$N$52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F5D-4FD1-9B1A-AE96912950B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F5D-4FD1-9B1A-AE96912950B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F5D-4FD1-9B1A-AE96912950B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F5D-4FD1-9B1A-AE96912950B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F5D-4FD1-9B1A-AE96912950B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F5D-4FD1-9B1A-AE96912950B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F5D-4FD1-9B1A-AE96912950B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F5D-4FD1-9B1A-AE96912950B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F5D-4FD1-9B1A-AE96912950B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F5D-4FD1-9B1A-AE96912950B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F5D-4FD1-9B1A-AE96912950B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F5D-4FD1-9B1A-AE96912950B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F5D-4FD1-9B1A-AE96912950BC}"/>
              </c:ext>
            </c:extLst>
          </c:dPt>
          <c:cat>
            <c:strRef>
              <c:f>'EM evol mensu TF cat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'!$N$53:$N$65</c:f>
              <c:numCache>
                <c:formatCode>0.00</c:formatCode>
                <c:ptCount val="13"/>
                <c:pt idx="0">
                  <c:v>-7.8501976420137343E-2</c:v>
                </c:pt>
                <c:pt idx="1">
                  <c:v>9.4357945220372219E-2</c:v>
                </c:pt>
                <c:pt idx="2">
                  <c:v>-0.3491975166560688</c:v>
                </c:pt>
                <c:pt idx="3">
                  <c:v>0.16037303840779638</c:v>
                </c:pt>
                <c:pt idx="4">
                  <c:v>0.23975869388774429</c:v>
                </c:pt>
                <c:pt idx="5">
                  <c:v>0.44124921779797788</c:v>
                </c:pt>
                <c:pt idx="6">
                  <c:v>0.57337313544450863</c:v>
                </c:pt>
                <c:pt idx="7">
                  <c:v>-0.33577663852963857</c:v>
                </c:pt>
                <c:pt idx="8">
                  <c:v>0.30244798130370709</c:v>
                </c:pt>
                <c:pt idx="9">
                  <c:v>-0.13452498724811157</c:v>
                </c:pt>
                <c:pt idx="12">
                  <c:v>8.6621973681403119E-2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F5D-4FD1-9B1A-AE9691295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9C-47E9-B8FC-96DDE116985A}"/>
              </c:ext>
            </c:extLst>
          </c:dPt>
          <c:val>
            <c:numRef>
              <c:f>'EM evol mensu TF cat '!$I$75:$I$87</c:f>
              <c:numCache>
                <c:formatCode>0.00</c:formatCode>
                <c:ptCount val="13"/>
                <c:pt idx="0">
                  <c:v>1.8437917222963951</c:v>
                </c:pt>
                <c:pt idx="1">
                  <c:v>1.7271557271557272</c:v>
                </c:pt>
                <c:pt idx="2">
                  <c:v>1.712907117008444</c:v>
                </c:pt>
                <c:pt idx="3">
                  <c:v>1.7098150782361308</c:v>
                </c:pt>
                <c:pt idx="4">
                  <c:v>1.8241308793456033</c:v>
                </c:pt>
                <c:pt idx="5">
                  <c:v>1.8506493506493507</c:v>
                </c:pt>
                <c:pt idx="6">
                  <c:v>0</c:v>
                </c:pt>
                <c:pt idx="7">
                  <c:v>0</c:v>
                </c:pt>
                <c:pt idx="8">
                  <c:v>1.941908713692946</c:v>
                </c:pt>
                <c:pt idx="9">
                  <c:v>1.7837837837837838</c:v>
                </c:pt>
                <c:pt idx="10">
                  <c:v>1.834140435835351</c:v>
                </c:pt>
                <c:pt idx="11">
                  <c:v>1.8573141486810552</c:v>
                </c:pt>
                <c:pt idx="12">
                  <c:v>1.8250295780202446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9C-47E9-B8FC-96DDE116985A}"/>
            </c:ext>
          </c:extLst>
        </c:ser>
        <c:ser>
          <c:idx val="0"/>
          <c:order val="2"/>
          <c:tx>
            <c:strRef>
              <c:f>'EM evol mensu TF cat 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89C-47E9-B8FC-96DDE116985A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'!$K$75:$K$87</c:f>
              <c:numCache>
                <c:formatCode>0.00</c:formatCode>
                <c:ptCount val="13"/>
                <c:pt idx="0">
                  <c:v>2.0355677154582765</c:v>
                </c:pt>
                <c:pt idx="1">
                  <c:v>2.141025641025641</c:v>
                </c:pt>
                <c:pt idx="2">
                  <c:v>1.9730769230769232</c:v>
                </c:pt>
                <c:pt idx="3">
                  <c:v>1.8083462132921175</c:v>
                </c:pt>
                <c:pt idx="4">
                  <c:v>2.0141129032258065</c:v>
                </c:pt>
                <c:pt idx="5">
                  <c:v>2.1756198347107438</c:v>
                </c:pt>
                <c:pt idx="6">
                  <c:v>1.9364599092284418</c:v>
                </c:pt>
                <c:pt idx="7">
                  <c:v>1.8826086956521739</c:v>
                </c:pt>
                <c:pt idx="8">
                  <c:v>1.8926174496644295</c:v>
                </c:pt>
                <c:pt idx="9">
                  <c:v>1.6739974126778785</c:v>
                </c:pt>
                <c:pt idx="10">
                  <c:v>1.7532188841201717</c:v>
                </c:pt>
                <c:pt idx="11">
                  <c:v>2.0639606396063961</c:v>
                </c:pt>
                <c:pt idx="12">
                  <c:v>1.9394168875425974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9C-47E9-B8FC-96DDE116985A}"/>
            </c:ext>
          </c:extLst>
        </c:ser>
        <c:ser>
          <c:idx val="1"/>
          <c:order val="3"/>
          <c:tx>
            <c:strRef>
              <c:f>'EM evol mensu TF cat 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89C-47E9-B8FC-96DDE116985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89C-47E9-B8FC-96DDE116985A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'!$M$75:$M$87</c:f>
              <c:numCache>
                <c:formatCode>0.00</c:formatCode>
                <c:ptCount val="13"/>
                <c:pt idx="0">
                  <c:v>1.8365617433414043</c:v>
                </c:pt>
                <c:pt idx="1">
                  <c:v>1.8200734394124847</c:v>
                </c:pt>
                <c:pt idx="2">
                  <c:v>1.8510131108462455</c:v>
                </c:pt>
                <c:pt idx="3">
                  <c:v>1.8757575757575757</c:v>
                </c:pt>
                <c:pt idx="4">
                  <c:v>1.9889349930843707</c:v>
                </c:pt>
                <c:pt idx="5">
                  <c:v>1.6375198728139904</c:v>
                </c:pt>
                <c:pt idx="6">
                  <c:v>2.2328482328482329</c:v>
                </c:pt>
                <c:pt idx="7">
                  <c:v>1.617816091954023</c:v>
                </c:pt>
                <c:pt idx="8">
                  <c:v>1.9131147540983606</c:v>
                </c:pt>
                <c:pt idx="9">
                  <c:v>1.8930288461538463</c:v>
                </c:pt>
                <c:pt idx="12">
                  <c:v>1.8687361419068735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89C-47E9-B8FC-96DDE1169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89C-47E9-B8FC-96DDE116985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1.5508701472556894</c:v>
                      </c:pt>
                      <c:pt idx="1">
                        <c:v>1.7258248009101251</c:v>
                      </c:pt>
                      <c:pt idx="2">
                        <c:v>1.4400494437577256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89C-47E9-B8FC-96DDE116985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'!$N$74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89C-47E9-B8FC-96DDE116985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89C-47E9-B8FC-96DDE116985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89C-47E9-B8FC-96DDE116985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89C-47E9-B8FC-96DDE116985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89C-47E9-B8FC-96DDE116985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89C-47E9-B8FC-96DDE116985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89C-47E9-B8FC-96DDE116985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89C-47E9-B8FC-96DDE116985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89C-47E9-B8FC-96DDE116985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89C-47E9-B8FC-96DDE116985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89C-47E9-B8FC-96DDE116985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89C-47E9-B8FC-96DDE116985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89C-47E9-B8FC-96DDE116985A}"/>
              </c:ext>
            </c:extLst>
          </c:dPt>
          <c:cat>
            <c:strRef>
              <c:f>'EM evol mensu TF cat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'!$N$75:$N$87</c:f>
              <c:numCache>
                <c:formatCode>0.00</c:formatCode>
                <c:ptCount val="13"/>
                <c:pt idx="0">
                  <c:v>-0.19900597211687221</c:v>
                </c:pt>
                <c:pt idx="1">
                  <c:v>-0.3209522016131563</c:v>
                </c:pt>
                <c:pt idx="2">
                  <c:v>-0.12206381223067764</c:v>
                </c:pt>
                <c:pt idx="3">
                  <c:v>6.7411362465458202E-2</c:v>
                </c:pt>
                <c:pt idx="4">
                  <c:v>-2.5177910141435778E-2</c:v>
                </c:pt>
                <c:pt idx="5">
                  <c:v>-0.53809996189675346</c:v>
                </c:pt>
                <c:pt idx="6">
                  <c:v>0.29638832361979106</c:v>
                </c:pt>
                <c:pt idx="7">
                  <c:v>-0.26479260369815094</c:v>
                </c:pt>
                <c:pt idx="8">
                  <c:v>2.0497304433931163E-2</c:v>
                </c:pt>
                <c:pt idx="9">
                  <c:v>0.21903143347596776</c:v>
                </c:pt>
                <c:pt idx="12">
                  <c:v>-8.2380724392899785E-2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89C-47E9-B8FC-96DDE1169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31-4AD3-B288-671C092DF5CD}"/>
              </c:ext>
            </c:extLst>
          </c:dPt>
          <c:val>
            <c:numRef>
              <c:f>'EM evol mensu TF cat '!$I$97:$I$109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31-4AD3-B288-671C092DF5CD}"/>
            </c:ext>
          </c:extLst>
        </c:ser>
        <c:ser>
          <c:idx val="0"/>
          <c:order val="2"/>
          <c:tx>
            <c:strRef>
              <c:f>'EM evol mensu TF cat 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131-4AD3-B288-671C092DF5CD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'!$K$97:$K$109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131-4AD3-B288-671C092DF5CD}"/>
            </c:ext>
          </c:extLst>
        </c:ser>
        <c:ser>
          <c:idx val="1"/>
          <c:order val="3"/>
          <c:tx>
            <c:strRef>
              <c:f>'EM evol mensu TF cat 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131-4AD3-B288-671C092DF5C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131-4AD3-B288-671C092DF5CD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'!$M$97:$M$109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131-4AD3-B288-671C092DF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131-4AD3-B288-671C092DF5C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131-4AD3-B288-671C092DF5C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'!$N$96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131-4AD3-B288-671C092DF5C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131-4AD3-B288-671C092DF5C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131-4AD3-B288-671C092DF5C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131-4AD3-B288-671C092DF5C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131-4AD3-B288-671C092DF5C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131-4AD3-B288-671C092DF5C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131-4AD3-B288-671C092DF5C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131-4AD3-B288-671C092DF5C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131-4AD3-B288-671C092DF5C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131-4AD3-B288-671C092DF5C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131-4AD3-B288-671C092DF5C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131-4AD3-B288-671C092DF5C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131-4AD3-B288-671C092DF5CD}"/>
              </c:ext>
            </c:extLst>
          </c:dPt>
          <c:cat>
            <c:strRef>
              <c:f>'EM evol mensu TF cat 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'!$N$97:$N$109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131-4AD3-B288-671C092DF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7750569674669167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99-44A1-BC96-EE25A02D1899}"/>
              </c:ext>
            </c:extLst>
          </c:dPt>
          <c:val>
            <c:numRef>
              <c:f>'tasa de ocupación evol mens'!$I$9:$I$21</c:f>
              <c:numCache>
                <c:formatCode>0.0%</c:formatCode>
                <c:ptCount val="13"/>
                <c:pt idx="0">
                  <c:v>0.69830000000000003</c:v>
                </c:pt>
                <c:pt idx="1">
                  <c:v>0.76769999999999994</c:v>
                </c:pt>
                <c:pt idx="2">
                  <c:v>0.75919999999999999</c:v>
                </c:pt>
                <c:pt idx="3">
                  <c:v>0.63869999999999993</c:v>
                </c:pt>
                <c:pt idx="4">
                  <c:v>0.62240000000000006</c:v>
                </c:pt>
                <c:pt idx="5">
                  <c:v>0.52149999999999996</c:v>
                </c:pt>
                <c:pt idx="6">
                  <c:v>0.46679999999999999</c:v>
                </c:pt>
                <c:pt idx="7">
                  <c:v>0.60020000000000007</c:v>
                </c:pt>
                <c:pt idx="8">
                  <c:v>0.53320000000000001</c:v>
                </c:pt>
                <c:pt idx="9">
                  <c:v>0.53239999999999998</c:v>
                </c:pt>
                <c:pt idx="10">
                  <c:v>0.65459999999999996</c:v>
                </c:pt>
                <c:pt idx="11">
                  <c:v>0.56869999999999998</c:v>
                </c:pt>
                <c:pt idx="12">
                  <c:v>0.61259601883208059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99-44A1-BC96-EE25A02D1899}"/>
            </c:ext>
          </c:extLst>
        </c:ser>
        <c:ser>
          <c:idx val="0"/>
          <c:order val="2"/>
          <c:tx>
            <c:strRef>
              <c:f>'tasa de ocupación evol mens'!$K$7:$L$7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299-44A1-BC96-EE25A02D189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mens'!$K$9:$K$21</c:f>
              <c:numCache>
                <c:formatCode>0.0%</c:formatCode>
                <c:ptCount val="13"/>
                <c:pt idx="0">
                  <c:v>0.69889999999999997</c:v>
                </c:pt>
                <c:pt idx="1">
                  <c:v>0.77560000000000007</c:v>
                </c:pt>
                <c:pt idx="2">
                  <c:v>0.73299999999999998</c:v>
                </c:pt>
                <c:pt idx="3">
                  <c:v>0.66559999999999997</c:v>
                </c:pt>
                <c:pt idx="4">
                  <c:v>0.5998</c:v>
                </c:pt>
                <c:pt idx="5">
                  <c:v>0.501</c:v>
                </c:pt>
                <c:pt idx="6">
                  <c:v>0.48599999999999999</c:v>
                </c:pt>
                <c:pt idx="7">
                  <c:v>0.44380000000000003</c:v>
                </c:pt>
                <c:pt idx="8">
                  <c:v>0.56189999999999996</c:v>
                </c:pt>
                <c:pt idx="9">
                  <c:v>0.58409999999999995</c:v>
                </c:pt>
                <c:pt idx="10">
                  <c:v>0.74159999999999993</c:v>
                </c:pt>
                <c:pt idx="11">
                  <c:v>0.63840000000000008</c:v>
                </c:pt>
                <c:pt idx="12">
                  <c:v>0.6183064169082243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99-44A1-BC96-EE25A02D1899}"/>
            </c:ext>
          </c:extLst>
        </c:ser>
        <c:ser>
          <c:idx val="1"/>
          <c:order val="3"/>
          <c:tx>
            <c:strRef>
              <c:f>'tasa de ocupación evol mens'!$M$7:$N$7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299-44A1-BC96-EE25A02D189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299-44A1-BC96-EE25A02D189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mens'!$M$9:$M$21</c:f>
              <c:numCache>
                <c:formatCode>0.0%</c:formatCode>
                <c:ptCount val="13"/>
                <c:pt idx="0">
                  <c:v>0.68330000000000002</c:v>
                </c:pt>
                <c:pt idx="1">
                  <c:v>0.69579999999999997</c:v>
                </c:pt>
                <c:pt idx="2">
                  <c:v>0.67559999999999998</c:v>
                </c:pt>
                <c:pt idx="3">
                  <c:v>0.59329999999999994</c:v>
                </c:pt>
                <c:pt idx="4">
                  <c:v>0.64280000000000004</c:v>
                </c:pt>
                <c:pt idx="5">
                  <c:v>0.57740000000000002</c:v>
                </c:pt>
                <c:pt idx="6">
                  <c:v>0.47909999999999997</c:v>
                </c:pt>
                <c:pt idx="7">
                  <c:v>0.56369999999999998</c:v>
                </c:pt>
                <c:pt idx="8">
                  <c:v>0.54</c:v>
                </c:pt>
                <c:pt idx="9">
                  <c:v>0.69180000000000008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299-44A1-BC96-EE25A02D1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299-44A1-BC96-EE25A02D189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mens'!$C$9:$C$21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0.56399999999999995</c:v>
                      </c:pt>
                      <c:pt idx="1">
                        <c:v>0.63570000000000004</c:v>
                      </c:pt>
                      <c:pt idx="2">
                        <c:v>0.2369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0.76939999999999997</c:v>
                      </c:pt>
                      <c:pt idx="8">
                        <c:v>0.43149999999999999</c:v>
                      </c:pt>
                      <c:pt idx="9">
                        <c:v>0.39939999999999998</c:v>
                      </c:pt>
                      <c:pt idx="10">
                        <c:v>0.40720000000000001</c:v>
                      </c:pt>
                      <c:pt idx="11">
                        <c:v>0.48200000000000004</c:v>
                      </c:pt>
                      <c:pt idx="12">
                        <c:v>0.5147906295498732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299-44A1-BC96-EE25A02D189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299-44A1-BC96-EE25A02D189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299-44A1-BC96-EE25A02D189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299-44A1-BC96-EE25A02D189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299-44A1-BC96-EE25A02D189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299-44A1-BC96-EE25A02D189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299-44A1-BC96-EE25A02D189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299-44A1-BC96-EE25A02D189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299-44A1-BC96-EE25A02D189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299-44A1-BC96-EE25A02D189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299-44A1-BC96-EE25A02D189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299-44A1-BC96-EE25A02D189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299-44A1-BC96-EE25A02D189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299-44A1-BC96-EE25A02D1899}"/>
              </c:ext>
            </c:extLst>
          </c:dPt>
          <c:cat>
            <c:strRef>
              <c:f>'tasa de ocupación evol mens'!$B$9:$B$20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mens'!$N$9:$N$21</c:f>
              <c:numCache>
                <c:formatCode>0.0%</c:formatCode>
                <c:ptCount val="13"/>
                <c:pt idx="0">
                  <c:v>-2.2320789812562469E-2</c:v>
                </c:pt>
                <c:pt idx="1">
                  <c:v>-0.10288808664259941</c:v>
                </c:pt>
                <c:pt idx="2">
                  <c:v>-7.8308321964529304E-2</c:v>
                </c:pt>
                <c:pt idx="3">
                  <c:v>-0.10862379807692313</c:v>
                </c:pt>
                <c:pt idx="4">
                  <c:v>7.1690563521173756E-2</c:v>
                </c:pt>
                <c:pt idx="5">
                  <c:v>0.15249500998003995</c:v>
                </c:pt>
                <c:pt idx="6">
                  <c:v>-1.4197530864197616E-2</c:v>
                </c:pt>
                <c:pt idx="7">
                  <c:v>0.27016674177557443</c:v>
                </c:pt>
                <c:pt idx="8">
                  <c:v>-3.8974906567004641E-2</c:v>
                </c:pt>
                <c:pt idx="9">
                  <c:v>0.18438623523369313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299-44A1-BC96-EE25A02D1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546570048309177"/>
          <c:y val="0.19562368325463131"/>
          <c:w val="0.87427463768115943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4CE-4300-97C0-A5B9198979BF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mens'!$I$97:$I$109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CE-4300-97C0-A5B9198979BF}"/>
            </c:ext>
          </c:extLst>
        </c:ser>
        <c:ser>
          <c:idx val="0"/>
          <c:order val="1"/>
          <c:tx>
            <c:strRef>
              <c:f>'tasa de ocupación evol mens'!$K$95:$L$95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4CE-4300-97C0-A5B9198979BF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mens'!$K$97:$K$109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4CE-4300-97C0-A5B9198979BF}"/>
            </c:ext>
          </c:extLst>
        </c:ser>
        <c:ser>
          <c:idx val="1"/>
          <c:order val="2"/>
          <c:tx>
            <c:strRef>
              <c:f>'tasa de ocupación evol mens'!$M$95:$N$95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4CE-4300-97C0-A5B9198979BF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mens'!$M$97:$M$109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4CE-4300-97C0-A5B919897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54CE-4300-97C0-A5B9198979B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54CE-4300-97C0-A5B9198979B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4CE-4300-97C0-A5B9198979B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4CE-4300-97C0-A5B9198979B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4CE-4300-97C0-A5B9198979B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4CE-4300-97C0-A5B9198979B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4CE-4300-97C0-A5B9198979B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4CE-4300-97C0-A5B9198979B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4CE-4300-97C0-A5B9198979B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4CE-4300-97C0-A5B9198979B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4CE-4300-97C0-A5B9198979B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4CE-4300-97C0-A5B9198979B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4CE-4300-97C0-A5B9198979BF}"/>
              </c:ext>
            </c:extLst>
          </c:dPt>
          <c:cat>
            <c:strRef>
              <c:f>'tasa de ocupación evol mens'!$B$97:$B$108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4CE-4300-97C0-A5B919897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739082125603864"/>
          <c:y val="0.15564305555555558"/>
          <c:w val="0.8970059178743961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78-4479-B1D5-19EE6060CA3D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mens'!$I$75:$I$87</c:f>
              <c:numCache>
                <c:formatCode>0.0%</c:formatCode>
                <c:ptCount val="13"/>
                <c:pt idx="0">
                  <c:v>0.70709999999999995</c:v>
                </c:pt>
                <c:pt idx="1">
                  <c:v>0.76080000000000003</c:v>
                </c:pt>
                <c:pt idx="2">
                  <c:v>0.72709999999999997</c:v>
                </c:pt>
                <c:pt idx="3">
                  <c:v>0.63600000000000001</c:v>
                </c:pt>
                <c:pt idx="4">
                  <c:v>0.45669999999999999</c:v>
                </c:pt>
                <c:pt idx="5">
                  <c:v>0.45240000000000002</c:v>
                </c:pt>
                <c:pt idx="6">
                  <c:v>0</c:v>
                </c:pt>
                <c:pt idx="7">
                  <c:v>0</c:v>
                </c:pt>
                <c:pt idx="8">
                  <c:v>0.49520000000000003</c:v>
                </c:pt>
                <c:pt idx="9">
                  <c:v>0.55409999999999993</c:v>
                </c:pt>
                <c:pt idx="10">
                  <c:v>0.69180000000000008</c:v>
                </c:pt>
                <c:pt idx="11">
                  <c:v>0.6845</c:v>
                </c:pt>
                <c:pt idx="12">
                  <c:v>0.51380833333333331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78-4479-B1D5-19EE6060CA3D}"/>
            </c:ext>
          </c:extLst>
        </c:ser>
        <c:ser>
          <c:idx val="0"/>
          <c:order val="1"/>
          <c:tx>
            <c:strRef>
              <c:f>'tasa de ocupación evol mens'!$K$73:$L$73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478-4479-B1D5-19EE6060CA3D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mens'!$K$75:$K$87</c:f>
              <c:numCache>
                <c:formatCode>0.0%</c:formatCode>
                <c:ptCount val="13"/>
                <c:pt idx="0">
                  <c:v>0.65749999999999997</c:v>
                </c:pt>
                <c:pt idx="1">
                  <c:v>0.81700000000000006</c:v>
                </c:pt>
                <c:pt idx="2">
                  <c:v>0.68010000000000004</c:v>
                </c:pt>
                <c:pt idx="3">
                  <c:v>0.53420000000000001</c:v>
                </c:pt>
                <c:pt idx="4">
                  <c:v>0.44140000000000001</c:v>
                </c:pt>
                <c:pt idx="5">
                  <c:v>0.48080000000000001</c:v>
                </c:pt>
                <c:pt idx="6">
                  <c:v>0.56559999999999999</c:v>
                </c:pt>
                <c:pt idx="7">
                  <c:v>0.1913</c:v>
                </c:pt>
                <c:pt idx="8">
                  <c:v>0.5151</c:v>
                </c:pt>
                <c:pt idx="9">
                  <c:v>0.57179999999999997</c:v>
                </c:pt>
                <c:pt idx="10">
                  <c:v>0.74609999999999999</c:v>
                </c:pt>
                <c:pt idx="11">
                  <c:v>0.74150000000000005</c:v>
                </c:pt>
                <c:pt idx="12">
                  <c:v>0.57853333333333334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478-4479-B1D5-19EE6060CA3D}"/>
            </c:ext>
          </c:extLst>
        </c:ser>
        <c:ser>
          <c:idx val="1"/>
          <c:order val="2"/>
          <c:tx>
            <c:strRef>
              <c:f>'tasa de ocupación evol mens'!$M$73:$N$73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478-4479-B1D5-19EE6060CA3D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mens'!$M$75:$M$87</c:f>
              <c:numCache>
                <c:formatCode>0.0%</c:formatCode>
                <c:ptCount val="13"/>
                <c:pt idx="0">
                  <c:v>0.67030000000000001</c:v>
                </c:pt>
                <c:pt idx="1">
                  <c:v>0.72750000000000004</c:v>
                </c:pt>
                <c:pt idx="2">
                  <c:v>0.68629999999999991</c:v>
                </c:pt>
                <c:pt idx="3">
                  <c:v>0.56530000000000002</c:v>
                </c:pt>
                <c:pt idx="4">
                  <c:v>0.63539999999999996</c:v>
                </c:pt>
                <c:pt idx="5">
                  <c:v>0.4703</c:v>
                </c:pt>
                <c:pt idx="6">
                  <c:v>0.47460000000000002</c:v>
                </c:pt>
                <c:pt idx="7">
                  <c:v>0.24879999999999999</c:v>
                </c:pt>
                <c:pt idx="8">
                  <c:v>0.53290000000000004</c:v>
                </c:pt>
                <c:pt idx="9">
                  <c:v>0.69599999999999995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478-4479-B1D5-19EE6060C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1478-4479-B1D5-19EE6060CA3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1478-4479-B1D5-19EE6060CA3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478-4479-B1D5-19EE6060CA3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478-4479-B1D5-19EE6060CA3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478-4479-B1D5-19EE6060CA3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478-4479-B1D5-19EE6060CA3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478-4479-B1D5-19EE6060CA3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478-4479-B1D5-19EE6060CA3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478-4479-B1D5-19EE6060CA3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478-4479-B1D5-19EE6060CA3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478-4479-B1D5-19EE6060CA3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478-4479-B1D5-19EE6060CA3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478-4479-B1D5-19EE6060CA3D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mens'!$N$75:$N$87</c:f>
              <c:numCache>
                <c:formatCode>0.0%</c:formatCode>
                <c:ptCount val="13"/>
                <c:pt idx="0">
                  <c:v>1.9467680608365123E-2</c:v>
                </c:pt>
                <c:pt idx="1">
                  <c:v>-0.109547123623011</c:v>
                </c:pt>
                <c:pt idx="2">
                  <c:v>9.1163064255255222E-3</c:v>
                </c:pt>
                <c:pt idx="3">
                  <c:v>5.8217895919131513E-2</c:v>
                </c:pt>
                <c:pt idx="4">
                  <c:v>0.43951064793837769</c:v>
                </c:pt>
                <c:pt idx="5">
                  <c:v>-2.1838602329450896E-2</c:v>
                </c:pt>
                <c:pt idx="6">
                  <c:v>-0.16089108910891081</c:v>
                </c:pt>
                <c:pt idx="7">
                  <c:v>0.30057501306847878</c:v>
                </c:pt>
                <c:pt idx="8">
                  <c:v>3.4556396816152191E-2</c:v>
                </c:pt>
                <c:pt idx="9">
                  <c:v>0.21720881427072403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1478-4479-B1D5-19EE6060C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3474552527311315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1C-4A16-9A1C-E48B8370E53D}"/>
              </c:ext>
            </c:extLst>
          </c:dPt>
          <c:val>
            <c:numRef>
              <c:f>'tasa de ocupación evol mens'!$I$31:$I$43</c:f>
              <c:numCache>
                <c:formatCode>0.0%</c:formatCode>
                <c:ptCount val="13"/>
                <c:pt idx="0">
                  <c:v>0.69830000000000003</c:v>
                </c:pt>
                <c:pt idx="1">
                  <c:v>0.76769999999999994</c:v>
                </c:pt>
                <c:pt idx="2">
                  <c:v>0.75919999999999999</c:v>
                </c:pt>
                <c:pt idx="3">
                  <c:v>0.63869999999999993</c:v>
                </c:pt>
                <c:pt idx="4">
                  <c:v>0.62240000000000006</c:v>
                </c:pt>
                <c:pt idx="5">
                  <c:v>0.52149999999999996</c:v>
                </c:pt>
                <c:pt idx="6">
                  <c:v>0.46679999999999999</c:v>
                </c:pt>
                <c:pt idx="7">
                  <c:v>0.60020000000000007</c:v>
                </c:pt>
                <c:pt idx="8">
                  <c:v>0.53320000000000001</c:v>
                </c:pt>
                <c:pt idx="9">
                  <c:v>0.53239999999999998</c:v>
                </c:pt>
                <c:pt idx="10">
                  <c:v>0.65459999999999996</c:v>
                </c:pt>
                <c:pt idx="11">
                  <c:v>0.56869999999999998</c:v>
                </c:pt>
                <c:pt idx="12">
                  <c:v>0.61259601883208059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1C-4A16-9A1C-E48B8370E53D}"/>
            </c:ext>
          </c:extLst>
        </c:ser>
        <c:ser>
          <c:idx val="0"/>
          <c:order val="2"/>
          <c:tx>
            <c:strRef>
              <c:f>'tasa de ocupación evol mens'!$K$29:$L$29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D1C-4A16-9A1C-E48B8370E53D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mens'!$K$31:$K$43</c:f>
              <c:numCache>
                <c:formatCode>0.0%</c:formatCode>
                <c:ptCount val="13"/>
                <c:pt idx="0">
                  <c:v>0.69889999999999997</c:v>
                </c:pt>
                <c:pt idx="1">
                  <c:v>0.80330000000000001</c:v>
                </c:pt>
                <c:pt idx="2">
                  <c:v>0.73299999999999998</c:v>
                </c:pt>
                <c:pt idx="3">
                  <c:v>0.66559999999999997</c:v>
                </c:pt>
                <c:pt idx="4">
                  <c:v>0.5998</c:v>
                </c:pt>
                <c:pt idx="5">
                  <c:v>0.501</c:v>
                </c:pt>
                <c:pt idx="6">
                  <c:v>0.48599999999999999</c:v>
                </c:pt>
                <c:pt idx="7">
                  <c:v>0.44380000000000003</c:v>
                </c:pt>
                <c:pt idx="8">
                  <c:v>0.56189999999999996</c:v>
                </c:pt>
                <c:pt idx="9">
                  <c:v>0.58409999999999995</c:v>
                </c:pt>
                <c:pt idx="10">
                  <c:v>0.74159999999999993</c:v>
                </c:pt>
                <c:pt idx="11">
                  <c:v>0.63840000000000008</c:v>
                </c:pt>
                <c:pt idx="12">
                  <c:v>0.6183064169082243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1C-4A16-9A1C-E48B8370E53D}"/>
            </c:ext>
          </c:extLst>
        </c:ser>
        <c:ser>
          <c:idx val="1"/>
          <c:order val="3"/>
          <c:tx>
            <c:strRef>
              <c:f>'tasa de ocupación evol mens'!$M$29:$N$29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D1C-4A16-9A1C-E48B8370E53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D1C-4A16-9A1C-E48B8370E53D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mens'!$M$31:$M$43</c:f>
              <c:numCache>
                <c:formatCode>0.0%</c:formatCode>
                <c:ptCount val="13"/>
                <c:pt idx="0">
                  <c:v>0.68330000000000002</c:v>
                </c:pt>
                <c:pt idx="1">
                  <c:v>0.69579999999999997</c:v>
                </c:pt>
                <c:pt idx="2">
                  <c:v>0.67559999999999998</c:v>
                </c:pt>
                <c:pt idx="3">
                  <c:v>0.59329999999999994</c:v>
                </c:pt>
                <c:pt idx="4">
                  <c:v>0.64280000000000004</c:v>
                </c:pt>
                <c:pt idx="5">
                  <c:v>0.57740000000000002</c:v>
                </c:pt>
                <c:pt idx="6">
                  <c:v>0.47909999999999997</c:v>
                </c:pt>
                <c:pt idx="7">
                  <c:v>0.56369999999999998</c:v>
                </c:pt>
                <c:pt idx="8">
                  <c:v>0.54</c:v>
                </c:pt>
                <c:pt idx="9">
                  <c:v>0.69180000000000008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D1C-4A16-9A1C-E48B8370E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D1C-4A16-9A1C-E48B8370E53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mens'!$C$31:$C$43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0.56399999999999995</c:v>
                      </c:pt>
                      <c:pt idx="1">
                        <c:v>0.63570000000000004</c:v>
                      </c:pt>
                      <c:pt idx="2">
                        <c:v>0.2369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0.76939999999999997</c:v>
                      </c:pt>
                      <c:pt idx="8">
                        <c:v>0.43149999999999999</c:v>
                      </c:pt>
                      <c:pt idx="9">
                        <c:v>0.39939999999999998</c:v>
                      </c:pt>
                      <c:pt idx="10">
                        <c:v>0.40720000000000001</c:v>
                      </c:pt>
                      <c:pt idx="11">
                        <c:v>0.48200000000000004</c:v>
                      </c:pt>
                      <c:pt idx="12">
                        <c:v>0.5147906295498732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D1C-4A16-9A1C-E48B8370E53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D1C-4A16-9A1C-E48B8370E53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D1C-4A16-9A1C-E48B8370E53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D1C-4A16-9A1C-E48B8370E53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D1C-4A16-9A1C-E48B8370E53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D1C-4A16-9A1C-E48B8370E53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D1C-4A16-9A1C-E48B8370E53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D1C-4A16-9A1C-E48B8370E53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D1C-4A16-9A1C-E48B8370E53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D1C-4A16-9A1C-E48B8370E53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D1C-4A16-9A1C-E48B8370E53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D1C-4A16-9A1C-E48B8370E53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D1C-4A16-9A1C-E48B8370E53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D1C-4A16-9A1C-E48B8370E53D}"/>
              </c:ext>
            </c:extLst>
          </c:dPt>
          <c:cat>
            <c:strRef>
              <c:f>'tasa de ocupación evol mens'!$B$31:$B$42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mens'!$N$31:$N$43</c:f>
              <c:numCache>
                <c:formatCode>0.0%</c:formatCode>
                <c:ptCount val="13"/>
                <c:pt idx="0">
                  <c:v>-2.2320789812562469E-2</c:v>
                </c:pt>
                <c:pt idx="1">
                  <c:v>-0.13382298020664762</c:v>
                </c:pt>
                <c:pt idx="2">
                  <c:v>-7.8308321964529304E-2</c:v>
                </c:pt>
                <c:pt idx="3">
                  <c:v>-0.10862379807692313</c:v>
                </c:pt>
                <c:pt idx="4">
                  <c:v>7.1690563521173756E-2</c:v>
                </c:pt>
                <c:pt idx="5">
                  <c:v>0.15249500998003995</c:v>
                </c:pt>
                <c:pt idx="6">
                  <c:v>-1.4197530864197616E-2</c:v>
                </c:pt>
                <c:pt idx="7">
                  <c:v>0.27016674177557443</c:v>
                </c:pt>
                <c:pt idx="8">
                  <c:v>-3.8974906567004641E-2</c:v>
                </c:pt>
                <c:pt idx="9">
                  <c:v>0.18438623523369313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D1C-4A16-9A1C-E48B8370E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5001701508510548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54-467C-BDE8-0E7C9FFBA647}"/>
              </c:ext>
            </c:extLst>
          </c:dPt>
          <c:val>
            <c:numRef>
              <c:f>'tasa de ocupación evol mens'!$I$53:$I$65</c:f>
              <c:numCache>
                <c:formatCode>0.0%</c:formatCode>
                <c:ptCount val="13"/>
                <c:pt idx="0">
                  <c:v>0.69739999999999991</c:v>
                </c:pt>
                <c:pt idx="1">
                  <c:v>0.76840000000000008</c:v>
                </c:pt>
                <c:pt idx="2">
                  <c:v>0.76249999999999996</c:v>
                </c:pt>
                <c:pt idx="3">
                  <c:v>0.63890000000000002</c:v>
                </c:pt>
                <c:pt idx="4">
                  <c:v>0.63979999999999992</c:v>
                </c:pt>
                <c:pt idx="5">
                  <c:v>0.52880000000000005</c:v>
                </c:pt>
                <c:pt idx="6">
                  <c:v>0</c:v>
                </c:pt>
                <c:pt idx="7">
                  <c:v>0</c:v>
                </c:pt>
                <c:pt idx="8">
                  <c:v>0.53720000000000001</c:v>
                </c:pt>
                <c:pt idx="9">
                  <c:v>0.52969999999999995</c:v>
                </c:pt>
                <c:pt idx="10">
                  <c:v>0.65010000000000001</c:v>
                </c:pt>
                <c:pt idx="11">
                  <c:v>0.55459999999999998</c:v>
                </c:pt>
                <c:pt idx="12">
                  <c:v>0.73955445544554455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54-467C-BDE8-0E7C9FFBA647}"/>
            </c:ext>
          </c:extLst>
        </c:ser>
        <c:ser>
          <c:idx val="0"/>
          <c:order val="2"/>
          <c:tx>
            <c:strRef>
              <c:f>'tasa de ocupación evol mens'!$K$51:$L$51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654-467C-BDE8-0E7C9FFBA647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mens'!$K$53:$K$65</c:f>
              <c:numCache>
                <c:formatCode>0.0%</c:formatCode>
                <c:ptCount val="13"/>
                <c:pt idx="0">
                  <c:v>0.70389999999999997</c:v>
                </c:pt>
                <c:pt idx="1">
                  <c:v>0.80169999999999997</c:v>
                </c:pt>
                <c:pt idx="2">
                  <c:v>0.73939999999999995</c:v>
                </c:pt>
                <c:pt idx="3">
                  <c:v>0.68159999999999998</c:v>
                </c:pt>
                <c:pt idx="4">
                  <c:v>0.61899999999999999</c:v>
                </c:pt>
                <c:pt idx="5">
                  <c:v>0.50340000000000007</c:v>
                </c:pt>
                <c:pt idx="6">
                  <c:v>0.4763</c:v>
                </c:pt>
                <c:pt idx="7">
                  <c:v>0.47450000000000003</c:v>
                </c:pt>
                <c:pt idx="8">
                  <c:v>0.56759999999999999</c:v>
                </c:pt>
                <c:pt idx="9">
                  <c:v>0.58560000000000001</c:v>
                </c:pt>
                <c:pt idx="10">
                  <c:v>0.74099999999999999</c:v>
                </c:pt>
                <c:pt idx="11">
                  <c:v>0.62590000000000001</c:v>
                </c:pt>
                <c:pt idx="12">
                  <c:v>0.62356102003642988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54-467C-BDE8-0E7C9FFBA647}"/>
            </c:ext>
          </c:extLst>
        </c:ser>
        <c:ser>
          <c:idx val="1"/>
          <c:order val="3"/>
          <c:tx>
            <c:strRef>
              <c:f>'tasa de ocupación evol mens'!$M$51:$N$51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54-467C-BDE8-0E7C9FFBA64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654-467C-BDE8-0E7C9FFBA647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mens'!$M$53:$M$65</c:f>
              <c:numCache>
                <c:formatCode>0.0%</c:formatCode>
                <c:ptCount val="13"/>
                <c:pt idx="0">
                  <c:v>0.68480000000000008</c:v>
                </c:pt>
                <c:pt idx="1">
                  <c:v>0.69189999999999996</c:v>
                </c:pt>
                <c:pt idx="2">
                  <c:v>0.67420000000000002</c:v>
                </c:pt>
                <c:pt idx="3">
                  <c:v>0.59670000000000001</c:v>
                </c:pt>
                <c:pt idx="4">
                  <c:v>0.64370000000000005</c:v>
                </c:pt>
                <c:pt idx="5">
                  <c:v>0.59040000000000004</c:v>
                </c:pt>
                <c:pt idx="6">
                  <c:v>0.47960000000000003</c:v>
                </c:pt>
                <c:pt idx="7">
                  <c:v>0.60199999999999998</c:v>
                </c:pt>
                <c:pt idx="8">
                  <c:v>0.54079999999999995</c:v>
                </c:pt>
                <c:pt idx="9">
                  <c:v>0.69129999999999991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654-467C-BDE8-0E7C9FFBA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654-467C-BDE8-0E7C9FFBA64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mens'!$C$53:$C$65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0.58719999999999994</c:v>
                      </c:pt>
                      <c:pt idx="1">
                        <c:v>0.62890000000000001</c:v>
                      </c:pt>
                      <c:pt idx="2">
                        <c:v>0.23670000000000002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654-467C-BDE8-0E7C9FFBA64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654-467C-BDE8-0E7C9FFBA64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654-467C-BDE8-0E7C9FFBA64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654-467C-BDE8-0E7C9FFBA64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654-467C-BDE8-0E7C9FFBA64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654-467C-BDE8-0E7C9FFBA64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654-467C-BDE8-0E7C9FFBA64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654-467C-BDE8-0E7C9FFBA64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654-467C-BDE8-0E7C9FFBA64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654-467C-BDE8-0E7C9FFBA64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654-467C-BDE8-0E7C9FFBA64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654-467C-BDE8-0E7C9FFBA64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654-467C-BDE8-0E7C9FFBA64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654-467C-BDE8-0E7C9FFBA647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mens'!$N$53:$N$65</c:f>
              <c:numCache>
                <c:formatCode>0.0%</c:formatCode>
                <c:ptCount val="13"/>
                <c:pt idx="0">
                  <c:v>-2.7134536155703826E-2</c:v>
                </c:pt>
                <c:pt idx="1">
                  <c:v>-0.13695896220531367</c:v>
                </c:pt>
                <c:pt idx="2">
                  <c:v>-8.8179605085204171E-2</c:v>
                </c:pt>
                <c:pt idx="3">
                  <c:v>-0.12455985915492951</c:v>
                </c:pt>
                <c:pt idx="4">
                  <c:v>3.9903069466882268E-2</c:v>
                </c:pt>
                <c:pt idx="5">
                  <c:v>0.17282479141835516</c:v>
                </c:pt>
                <c:pt idx="6">
                  <c:v>6.9284064665127154E-3</c:v>
                </c:pt>
                <c:pt idx="7">
                  <c:v>0.26870389884088497</c:v>
                </c:pt>
                <c:pt idx="8">
                  <c:v>-4.7216349541930991E-2</c:v>
                </c:pt>
                <c:pt idx="9">
                  <c:v>0.18049863387978116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654-467C-BDE8-0E7C9FFBA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500876382174E-3"/>
          <c:y val="0.5733020131929728"/>
          <c:w val="0.97760879170679205"/>
          <c:h val="0.22475410199612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'distribución españoles x Resid'!$J$5</c:f>
              <c:strCache>
                <c:ptCount val="1"/>
                <c:pt idx="0">
                  <c:v>acumulado octubre 2024</c:v>
                </c:pt>
              </c:strCache>
            </c:strRef>
          </c:tx>
          <c:spPr>
            <a:solidFill>
              <a:schemeClr val="accent6"/>
            </a:solidFill>
            <a:ln w="28575"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s-ES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Resid'!$J$8,'distribución españoles x Resid'!$J$10:$J$11)</c:f>
              <c:numCache>
                <c:formatCode>#,##0</c:formatCode>
                <c:ptCount val="3"/>
                <c:pt idx="0">
                  <c:v>20148</c:v>
                </c:pt>
                <c:pt idx="1">
                  <c:v>1474</c:v>
                </c:pt>
                <c:pt idx="2">
                  <c:v>7693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5-4AC2-9164-316749728BF1}"/>
            </c:ext>
          </c:extLst>
        </c:ser>
        <c:ser>
          <c:idx val="0"/>
          <c:order val="1"/>
          <c:tx>
            <c:strRef>
              <c:f>'distribución españoles x Resid'!$N$5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18580</c:v>
                </c:pt>
                <c:pt idx="1">
                  <c:v>1205</c:v>
                </c:pt>
                <c:pt idx="2">
                  <c:v>9705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5-4AC2-9164-316749728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1632"/>
        <c:axId val="-1992649584"/>
      </c:barChart>
      <c:barChart>
        <c:barDir val="col"/>
        <c:grouping val="clustered"/>
        <c:varyColors val="0"/>
        <c:ser>
          <c:idx val="3"/>
          <c:order val="3"/>
          <c:tx>
            <c:v>cuota</c:v>
          </c:tx>
          <c:spPr>
            <a:noFill/>
            <a:ln w="12700">
              <a:solidFill>
                <a:srgbClr val="9BBB59">
                  <a:lumMod val="7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215-4AC2-9164-316749728BF1}"/>
              </c:ext>
            </c:extLst>
          </c:dPt>
          <c:dPt>
            <c:idx val="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7215-4AC2-9164-316749728BF1}"/>
              </c:ext>
            </c:extLst>
          </c:dPt>
          <c:dPt>
            <c:idx val="2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7-7215-4AC2-9164-316749728BF1}"/>
              </c:ext>
            </c:extLst>
          </c:dPt>
          <c:dLbls>
            <c:dLbl>
              <c:idx val="0"/>
              <c:layout>
                <c:manualLayout>
                  <c:x val="2.2408963585434184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15-4AC2-9164-316749728BF1}"/>
                </c:ext>
              </c:extLst>
            </c:dLbl>
            <c:dLbl>
              <c:idx val="1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15-4AC2-9164-316749728BF1}"/>
                </c:ext>
              </c:extLst>
            </c:dLbl>
            <c:dLbl>
              <c:idx val="2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15-4AC2-9164-316749728BF1}"/>
                </c:ext>
              </c:extLst>
            </c:dLbl>
            <c:dLbl>
              <c:idx val="3"/>
              <c:layout>
                <c:manualLayout>
                  <c:x val="3.8095238095238099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215-4AC2-9164-316749728BF1}"/>
                </c:ext>
              </c:extLst>
            </c:dLbl>
            <c:dLbl>
              <c:idx val="4"/>
              <c:layout>
                <c:manualLayout>
                  <c:x val="3.5854341736694599E-2"/>
                  <c:y val="8.0914687774846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15-4AC2-9164-316749728BF1}"/>
                </c:ext>
              </c:extLst>
            </c:dLbl>
            <c:dLbl>
              <c:idx val="5"/>
              <c:layout>
                <c:manualLayout>
                  <c:x val="4.0336134453781515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215-4AC2-9164-316749728BF1}"/>
                </c:ext>
              </c:extLst>
            </c:dLbl>
            <c:spPr>
              <a:noFill/>
              <a:ln>
                <a:solidFill>
                  <a:srgbClr val="9BBB59">
                    <a:lumMod val="7500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>
                        <a:lumMod val="6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('distribución españoles x Resid'!$S$8,'distribución españoles x Resid'!$S$10,'distribución españoles x Resid'!$S$11)</c:f>
              <c:numCache>
                <c:formatCode>0.0%</c:formatCode>
                <c:ptCount val="3"/>
                <c:pt idx="0">
                  <c:v>0.63004408273991186</c:v>
                </c:pt>
                <c:pt idx="1">
                  <c:v>4.0861308918277384E-2</c:v>
                </c:pt>
                <c:pt idx="2">
                  <c:v>0.32909460834181076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215-4AC2-9164-316749728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4352"/>
        <c:axId val="-1992646864"/>
      </c:barChart>
      <c:lineChart>
        <c:grouping val="standard"/>
        <c:varyColors val="0"/>
        <c:ser>
          <c:idx val="1"/>
          <c:order val="2"/>
          <c:tx>
            <c:strRef>
              <c:f>'distribución españoles x Resid'!$O$5</c:f>
              <c:strCache>
                <c:ptCount val="1"/>
                <c:pt idx="0">
                  <c:v>var. 25/24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 w="12700"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215-4AC2-9164-316749728BF1}"/>
              </c:ext>
            </c:extLst>
          </c:dPt>
          <c:dPt>
            <c:idx val="1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215-4AC2-9164-316749728BF1}"/>
              </c:ext>
            </c:extLst>
          </c:dPt>
          <c:dPt>
            <c:idx val="2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215-4AC2-9164-316749728BF1}"/>
              </c:ext>
            </c:extLst>
          </c:dPt>
          <c:dPt>
            <c:idx val="3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215-4AC2-9164-316749728BF1}"/>
              </c:ext>
            </c:extLst>
          </c:dPt>
          <c:dPt>
            <c:idx val="4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215-4AC2-9164-316749728BF1}"/>
              </c:ext>
            </c:extLst>
          </c:dPt>
          <c:dPt>
            <c:idx val="5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215-4AC2-9164-316749728BF1}"/>
              </c:ext>
            </c:extLst>
          </c:dPt>
          <c:dLbls>
            <c:dLbl>
              <c:idx val="0"/>
              <c:layout>
                <c:manualLayout>
                  <c:x val="-5.6085850813717919E-2"/>
                  <c:y val="-0.3882775338836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215-4AC2-9164-316749728BF1}"/>
                </c:ext>
              </c:extLst>
            </c:dLbl>
            <c:dLbl>
              <c:idx val="1"/>
              <c:layout>
                <c:manualLayout>
                  <c:x val="-4.1760392381352811E-2"/>
                  <c:y val="-0.3058447726578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215-4AC2-9164-316749728BF1}"/>
                </c:ext>
              </c:extLst>
            </c:dLbl>
            <c:dLbl>
              <c:idx val="2"/>
              <c:layout>
                <c:manualLayout>
                  <c:x val="-2.9322635206400466E-2"/>
                  <c:y val="-0.268635901524967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215-4AC2-9164-316749728BF1}"/>
                </c:ext>
              </c:extLst>
            </c:dLbl>
            <c:dLbl>
              <c:idx val="3"/>
              <c:layout>
                <c:manualLayout>
                  <c:x val="-2.617759233913217E-2"/>
                  <c:y val="-0.235970545292881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215-4AC2-9164-316749728BF1}"/>
                </c:ext>
              </c:extLst>
            </c:dLbl>
            <c:dLbl>
              <c:idx val="4"/>
              <c:layout>
                <c:manualLayout>
                  <c:x val="-3.7427537735676572E-2"/>
                  <c:y val="-0.20831281299670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215-4AC2-9164-316749728BF1}"/>
                </c:ext>
              </c:extLst>
            </c:dLbl>
            <c:dLbl>
              <c:idx val="5"/>
              <c:layout>
                <c:manualLayout>
                  <c:x val="-5.2666710778799711E-2"/>
                  <c:y val="-0.238082535197612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215-4AC2-9164-316749728BF1}"/>
                </c:ext>
              </c:extLst>
            </c:dLbl>
            <c:numFmt formatCode="0.0%" sourceLinked="0"/>
            <c:spPr>
              <a:noFill/>
              <a:ln w="12700">
                <a:solidFill>
                  <a:srgbClr val="1ECAD3"/>
                </a:solidFill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accent3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Resid'!$O$8,'distribución españoles x Resid'!$O$10:$O$11)</c:f>
              <c:numCache>
                <c:formatCode>0.0%</c:formatCode>
                <c:ptCount val="3"/>
                <c:pt idx="0">
                  <c:v>-7.7824101647806287E-2</c:v>
                </c:pt>
                <c:pt idx="1">
                  <c:v>-0.1824966078697422</c:v>
                </c:pt>
                <c:pt idx="2">
                  <c:v>0.26153646171844525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215-4AC2-9164-316749728B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92634352"/>
        <c:axId val="-1992646864"/>
      </c:lineChart>
      <c:catAx>
        <c:axId val="-19926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-1992649584"/>
        <c:crosses val="autoZero"/>
        <c:auto val="1"/>
        <c:lblAlgn val="ctr"/>
        <c:lblOffset val="700"/>
        <c:tickLblSkip val="1"/>
        <c:tickMarkSkip val="1"/>
        <c:noMultiLvlLbl val="0"/>
      </c:catAx>
      <c:valAx>
        <c:axId val="-1992649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-1992631632"/>
        <c:crosses val="autoZero"/>
        <c:crossBetween val="between"/>
      </c:valAx>
      <c:catAx>
        <c:axId val="-199263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2646864"/>
        <c:crosses val="autoZero"/>
        <c:auto val="1"/>
        <c:lblAlgn val="ctr"/>
        <c:lblOffset val="100"/>
        <c:noMultiLvlLbl val="0"/>
      </c:catAx>
      <c:valAx>
        <c:axId val="-1992646864"/>
        <c:scaling>
          <c:orientation val="minMax"/>
          <c:max val="0.5"/>
          <c:min val="-0.5"/>
        </c:scaling>
        <c:delete val="1"/>
        <c:axPos val="r"/>
        <c:numFmt formatCode="0.0%" sourceLinked="1"/>
        <c:majorTickMark val="out"/>
        <c:minorTickMark val="none"/>
        <c:tickLblPos val="none"/>
        <c:crossAx val="-1992634352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3.9550600542806305E-2"/>
          <c:y val="0.12537201577809509"/>
          <c:w val="0.86702381074488111"/>
          <c:h val="6.788274157023246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9D-451B-88BB-C1FB83AFC257}"/>
              </c:ext>
            </c:extLst>
          </c:dPt>
          <c:val>
            <c:numRef>
              <c:f>'Viajeros entr evol mensu TF'!$I$141:$I$153</c:f>
              <c:numCache>
                <c:formatCode>#,##0</c:formatCode>
                <c:ptCount val="13"/>
                <c:pt idx="0">
                  <c:v>460</c:v>
                </c:pt>
                <c:pt idx="1">
                  <c:v>440</c:v>
                </c:pt>
                <c:pt idx="2">
                  <c:v>450</c:v>
                </c:pt>
                <c:pt idx="3">
                  <c:v>358</c:v>
                </c:pt>
                <c:pt idx="4">
                  <c:v>188</c:v>
                </c:pt>
                <c:pt idx="5">
                  <c:v>128</c:v>
                </c:pt>
                <c:pt idx="6">
                  <c:v>108</c:v>
                </c:pt>
                <c:pt idx="7">
                  <c:v>235</c:v>
                </c:pt>
                <c:pt idx="8">
                  <c:v>222</c:v>
                </c:pt>
                <c:pt idx="9">
                  <c:v>304</c:v>
                </c:pt>
                <c:pt idx="10">
                  <c:v>499</c:v>
                </c:pt>
                <c:pt idx="11">
                  <c:v>422</c:v>
                </c:pt>
                <c:pt idx="12">
                  <c:v>3814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9D-451B-88BB-C1FB83AFC257}"/>
            </c:ext>
          </c:extLst>
        </c:ser>
        <c:ser>
          <c:idx val="0"/>
          <c:order val="3"/>
          <c:tx>
            <c:strRef>
              <c:f>'Viajeros entr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F9D-451B-88BB-C1FB83AFC25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TF'!$K$141:$K$153</c:f>
              <c:numCache>
                <c:formatCode>#,##0</c:formatCode>
                <c:ptCount val="13"/>
                <c:pt idx="0">
                  <c:v>643</c:v>
                </c:pt>
                <c:pt idx="1">
                  <c:v>537</c:v>
                </c:pt>
                <c:pt idx="2">
                  <c:v>565</c:v>
                </c:pt>
                <c:pt idx="3">
                  <c:v>348</c:v>
                </c:pt>
                <c:pt idx="4">
                  <c:v>242</c:v>
                </c:pt>
                <c:pt idx="5">
                  <c:v>154</c:v>
                </c:pt>
                <c:pt idx="6">
                  <c:v>124</c:v>
                </c:pt>
                <c:pt idx="7">
                  <c:v>173</c:v>
                </c:pt>
                <c:pt idx="8">
                  <c:v>224</c:v>
                </c:pt>
                <c:pt idx="9">
                  <c:v>305</c:v>
                </c:pt>
                <c:pt idx="10">
                  <c:v>459</c:v>
                </c:pt>
                <c:pt idx="11">
                  <c:v>460</c:v>
                </c:pt>
                <c:pt idx="12">
                  <c:v>4234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9D-451B-88BB-C1FB83AFC257}"/>
            </c:ext>
          </c:extLst>
        </c:ser>
        <c:ser>
          <c:idx val="1"/>
          <c:order val="4"/>
          <c:tx>
            <c:strRef>
              <c:f>'Viajeros entr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9D-451B-88BB-C1FB83AFC25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9D-451B-88BB-C1FB83AFC25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TF'!$M$141:$M$153</c:f>
              <c:numCache>
                <c:formatCode>#,##0</c:formatCode>
                <c:ptCount val="13"/>
                <c:pt idx="0">
                  <c:v>526</c:v>
                </c:pt>
                <c:pt idx="1">
                  <c:v>505</c:v>
                </c:pt>
                <c:pt idx="2">
                  <c:v>519</c:v>
                </c:pt>
                <c:pt idx="3">
                  <c:v>295</c:v>
                </c:pt>
                <c:pt idx="4">
                  <c:v>211</c:v>
                </c:pt>
                <c:pt idx="5">
                  <c:v>117</c:v>
                </c:pt>
                <c:pt idx="6">
                  <c:v>124</c:v>
                </c:pt>
                <c:pt idx="7">
                  <c:v>124</c:v>
                </c:pt>
                <c:pt idx="8">
                  <c:v>124</c:v>
                </c:pt>
                <c:pt idx="9">
                  <c:v>124</c:v>
                </c:pt>
                <c:pt idx="12">
                  <c:v>3003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F9D-451B-88BB-C1FB83AFC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F9D-451B-88BB-C1FB83AFC25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427</c:v>
                      </c:pt>
                      <c:pt idx="1">
                        <c:v>458</c:v>
                      </c:pt>
                      <c:pt idx="2">
                        <c:v>186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86</c:v>
                      </c:pt>
                      <c:pt idx="8">
                        <c:v>42</c:v>
                      </c:pt>
                      <c:pt idx="9">
                        <c:v>40</c:v>
                      </c:pt>
                      <c:pt idx="10">
                        <c:v>103</c:v>
                      </c:pt>
                      <c:pt idx="11">
                        <c:v>87</c:v>
                      </c:pt>
                      <c:pt idx="12">
                        <c:v>1481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F9D-451B-88BB-C1FB83AFC257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'Viajeros entr evol mensu TF'!$G$139:$H$139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8F9D-451B-88BB-C1FB83AFC257}"/>
                    </c:ext>
                  </c:extLst>
                </c:dP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('Viajeros entr evol mensu TF'!$G$141:$G$152,'Viajeros entr evol mensu TF'!$G$153)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309</c:v>
                      </c:pt>
                      <c:pt idx="1">
                        <c:v>390</c:v>
                      </c:pt>
                      <c:pt idx="2">
                        <c:v>431</c:v>
                      </c:pt>
                      <c:pt idx="3">
                        <c:v>352</c:v>
                      </c:pt>
                      <c:pt idx="4">
                        <c:v>190</c:v>
                      </c:pt>
                      <c:pt idx="5">
                        <c:v>171</c:v>
                      </c:pt>
                      <c:pt idx="6">
                        <c:v>136</c:v>
                      </c:pt>
                      <c:pt idx="7">
                        <c:v>193</c:v>
                      </c:pt>
                      <c:pt idx="8">
                        <c:v>224</c:v>
                      </c:pt>
                      <c:pt idx="9">
                        <c:v>318</c:v>
                      </c:pt>
                      <c:pt idx="10">
                        <c:v>407</c:v>
                      </c:pt>
                      <c:pt idx="11">
                        <c:v>361</c:v>
                      </c:pt>
                      <c:pt idx="12">
                        <c:v>3482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8F9D-451B-88BB-C1FB83AFC25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F9D-451B-88BB-C1FB83AFC25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F9D-451B-88BB-C1FB83AFC25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F9D-451B-88BB-C1FB83AFC25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F9D-451B-88BB-C1FB83AFC25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F9D-451B-88BB-C1FB83AFC25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F9D-451B-88BB-C1FB83AFC25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F9D-451B-88BB-C1FB83AFC25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F9D-451B-88BB-C1FB83AFC25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F9D-451B-88BB-C1FB83AFC25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F9D-451B-88BB-C1FB83AFC25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F9D-451B-88BB-C1FB83AFC25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F9D-451B-88BB-C1FB83AFC25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F9D-451B-88BB-C1FB83AFC257}"/>
              </c:ext>
            </c:extLst>
          </c:dPt>
          <c:cat>
            <c:strRef>
              <c:f>'Viajeros entr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TF'!$N$141:$N$153</c:f>
              <c:numCache>
                <c:formatCode>0.0%</c:formatCode>
                <c:ptCount val="13"/>
                <c:pt idx="0">
                  <c:v>-0.18195956454121309</c:v>
                </c:pt>
                <c:pt idx="1">
                  <c:v>-5.9590316573556845E-2</c:v>
                </c:pt>
                <c:pt idx="2">
                  <c:v>-8.1415929203539794E-2</c:v>
                </c:pt>
                <c:pt idx="3">
                  <c:v>-0.1522988505747126</c:v>
                </c:pt>
                <c:pt idx="4">
                  <c:v>-0.12809917355371903</c:v>
                </c:pt>
                <c:pt idx="5">
                  <c:v>-0.24025974025974028</c:v>
                </c:pt>
                <c:pt idx="6">
                  <c:v>0</c:v>
                </c:pt>
                <c:pt idx="7">
                  <c:v>-0.2832369942196532</c:v>
                </c:pt>
                <c:pt idx="8">
                  <c:v>-0.4464285714285714</c:v>
                </c:pt>
                <c:pt idx="9">
                  <c:v>-0.59344262295081962</c:v>
                </c:pt>
                <c:pt idx="12">
                  <c:v>-9.4117647058823528E-2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F9D-451B-88BB-C1FB83AFC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Resid'!$N$5</c:f>
          <c:strCache>
            <c:ptCount val="1"/>
            <c:pt idx="0">
              <c:v>acumulado octubre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35460146906506"/>
          <c:y val="0.2283322201574197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Resid'!$N$5</c:f>
              <c:strCache>
                <c:ptCount val="1"/>
                <c:pt idx="0">
                  <c:v>acumulado octubre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F0E-46AB-AF6F-B7FCE376EE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F0E-46AB-AF6F-B7FCE376EE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F0E-46AB-AF6F-B7FCE376EE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F0E-46AB-AF6F-B7FCE376EED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F0E-46AB-AF6F-B7FCE376EED3}"/>
              </c:ext>
            </c:extLst>
          </c:dPt>
          <c:dLbls>
            <c:dLbl>
              <c:idx val="0"/>
              <c:layout>
                <c:manualLayout>
                  <c:x val="-7.2623912404118932E-2"/>
                  <c:y val="-7.38758059166435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0E-46AB-AF6F-B7FCE376EED3}"/>
                </c:ext>
              </c:extLst>
            </c:dLbl>
            <c:dLbl>
              <c:idx val="1"/>
              <c:layout>
                <c:manualLayout>
                  <c:x val="3.6318654252135235E-2"/>
                  <c:y val="0.131903621683758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0E-46AB-AF6F-B7FCE376EED3}"/>
                </c:ext>
              </c:extLst>
            </c:dLbl>
            <c:dLbl>
              <c:idx val="2"/>
              <c:layout>
                <c:manualLayout>
                  <c:x val="2.4638777203978012E-2"/>
                  <c:y val="-4.13174550526827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0E-46AB-AF6F-B7FCE376EED3}"/>
                </c:ext>
              </c:extLst>
            </c:dLbl>
            <c:dLbl>
              <c:idx val="3"/>
              <c:layout>
                <c:manualLayout>
                  <c:x val="-6.361061988303239E-2"/>
                  <c:y val="4.594985971581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0E-46AB-AF6F-B7FCE376EED3}"/>
                </c:ext>
              </c:extLst>
            </c:dLbl>
            <c:dLbl>
              <c:idx val="4"/>
              <c:layout>
                <c:manualLayout>
                  <c:x val="2.5258524449330633E-2"/>
                  <c:y val="-3.3707424502971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0E-46AB-AF6F-B7FCE376EED3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F0E-46AB-AF6F-B7FCE376E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18580</c:v>
                </c:pt>
                <c:pt idx="1">
                  <c:v>1205</c:v>
                </c:pt>
                <c:pt idx="2">
                  <c:v>9705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F0E-46AB-AF6F-B7FCE376E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80-4556-9CC2-A48A3A013121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80-4556-9CC2-A48A3A013121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80-4556-9CC2-A48A3A013121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80-4556-9CC2-A48A3A013121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80-4556-9CC2-A48A3A013121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80-4556-9CC2-A48A3A013121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80-4556-9CC2-A48A3A013121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80-4556-9CC2-A48A3A013121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0-4556-9CC2-A48A3A013121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80-4556-9CC2-A48A3A0131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C780-4556-9CC2-A48A3A013121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80-4556-9CC2-A48A3A013121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80-4556-9CC2-A48A3A013121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780-4556-9CC2-A48A3A013121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780-4556-9CC2-A48A3A0131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C780-4556-9CC2-A48A3A013121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C780-4556-9CC2-A48A3A013121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780-4556-9CC2-A48A3A013121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780-4556-9CC2-A48A3A013121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780-4556-9CC2-A48A3A013121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780-4556-9CC2-A48A3A013121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780-4556-9CC2-A48A3A013121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780-4556-9CC2-A48A3A013121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780-4556-9CC2-A48A3A013121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780-4556-9CC2-A48A3A013121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780-4556-9CC2-A48A3A013121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780-4556-9CC2-A48A3A013121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780-4556-9CC2-A48A3A013121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780-4556-9CC2-A48A3A013121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780-4556-9CC2-A48A3A013121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780-4556-9CC2-A48A3A013121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780-4556-9CC2-A48A3A013121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780-4556-9CC2-A48A3A01312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C780-4556-9CC2-A48A3A013121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C780-4556-9CC2-A48A3A013121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C780-4556-9CC2-A48A3A013121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C780-4556-9CC2-A48A3A013121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C780-4556-9CC2-A48A3A013121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C780-4556-9CC2-A48A3A013121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C780-4556-9CC2-A48A3A013121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C780-4556-9CC2-A48A3A013121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C780-4556-9CC2-A48A3A013121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C780-4556-9CC2-A48A3A013121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C780-4556-9CC2-A48A3A013121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C780-4556-9CC2-A48A3A013121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C780-4556-9CC2-A48A3A013121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C780-4556-9CC2-A48A3A013121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C780-4556-9CC2-A48A3A013121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C780-4556-9CC2-A48A3A013121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C780-4556-9CC2-A48A3A01312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780-4556-9CC2-A48A3A013121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780-4556-9CC2-A48A3A013121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780-4556-9CC2-A48A3A013121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780-4556-9CC2-A48A3A013121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780-4556-9CC2-A48A3A013121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780-4556-9CC2-A48A3A013121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780-4556-9CC2-A48A3A013121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780-4556-9CC2-A48A3A013121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780-4556-9CC2-A48A3A013121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780-4556-9CC2-A48A3A013121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C780-4556-9CC2-A48A3A013121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C780-4556-9CC2-A48A3A013121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C780-4556-9CC2-A48A3A013121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C780-4556-9CC2-A48A3A013121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C780-4556-9CC2-A48A3A013121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C780-4556-9CC2-A48A3A01312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C780-4556-9CC2-A48A3A013121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C780-4556-9CC2-A48A3A013121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C780-4556-9CC2-A48A3A013121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C780-4556-9CC2-A48A3A013121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C780-4556-9CC2-A48A3A013121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C780-4556-9CC2-A48A3A013121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C780-4556-9CC2-A48A3A013121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C780-4556-9CC2-A48A3A013121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C780-4556-9CC2-A48A3A013121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C780-4556-9CC2-A48A3A013121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C780-4556-9CC2-A48A3A013121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C780-4556-9CC2-A48A3A013121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C780-4556-9CC2-A48A3A013121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C780-4556-9CC2-A48A3A013121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C780-4556-9CC2-A48A3A013121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C780-4556-9CC2-A48A3A013121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C780-4556-9CC2-A48A3A01312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C780-4556-9CC2-A48A3A013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cate'!$O$5</c:f>
          <c:strCache>
            <c:ptCount val="1"/>
            <c:pt idx="0">
              <c:v>acumulado octubre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cate'!$O$5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EF-41EE-BBD6-31FA168CAA37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6EF-41EE-BBD6-31FA168CAA37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EF-41EE-BBD6-31FA168CAA37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EF-41EE-BBD6-31FA168CAA37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cate'!$B$8:$B$9,'distribución españoles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españoles x cate'!$O$8:$O$9,'distribución españoles x cate'!$O$11:$O$12)</c:f>
              <c:numCache>
                <c:formatCode>#,##0</c:formatCode>
                <c:ptCount val="2"/>
                <c:pt idx="0">
                  <c:v>4917</c:v>
                </c:pt>
                <c:pt idx="1">
                  <c:v>24573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EF-41EE-BBD6-31FA168CA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cate'!$B$3</c:f>
          <c:strCache>
            <c:ptCount val="1"/>
            <c:pt idx="0">
              <c:v>Viajeros españoles entrados en los hoteles y apartamentos de San Cristóbal de La Laguna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cate'!$G$5</c:f>
              <c:strCache>
                <c:ptCount val="1"/>
                <c:pt idx="0">
                  <c:v>acumulado octubre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españoles x cate'!$G$7:$G$10</c:f>
              <c:numCache>
                <c:formatCode>#,##0</c:formatCode>
                <c:ptCount val="4"/>
                <c:pt idx="0">
                  <c:v>32685</c:v>
                </c:pt>
                <c:pt idx="1">
                  <c:v>3564</c:v>
                </c:pt>
                <c:pt idx="2">
                  <c:v>22563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F-4242-B483-15F5518DA68D}"/>
            </c:ext>
          </c:extLst>
        </c:ser>
        <c:ser>
          <c:idx val="1"/>
          <c:order val="1"/>
          <c:tx>
            <c:strRef>
              <c:f>'distribución españoles x cate'!$K$5</c:f>
              <c:strCache>
                <c:ptCount val="1"/>
                <c:pt idx="0">
                  <c:v>acumulado octubre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cate'!$K$7:$K$12</c:f>
              <c:numCache>
                <c:formatCode>#,##0</c:formatCode>
                <c:ptCount val="4"/>
                <c:pt idx="0">
                  <c:v>29315</c:v>
                </c:pt>
                <c:pt idx="1">
                  <c:v>4493</c:v>
                </c:pt>
                <c:pt idx="2">
                  <c:v>24822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4F-4242-B483-15F5518DA68D}"/>
            </c:ext>
          </c:extLst>
        </c:ser>
        <c:ser>
          <c:idx val="2"/>
          <c:order val="2"/>
          <c:tx>
            <c:strRef>
              <c:f>'distribución españoles x cate'!$O$5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cate'!$O$7:$O$12</c:f>
              <c:numCache>
                <c:formatCode>#,##0</c:formatCode>
                <c:ptCount val="4"/>
                <c:pt idx="0">
                  <c:v>29490</c:v>
                </c:pt>
                <c:pt idx="1">
                  <c:v>4917</c:v>
                </c:pt>
                <c:pt idx="2">
                  <c:v>24573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4F-4242-B483-15F5518DA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cate'!$P$7:$P$12</c:f>
              <c:numCache>
                <c:formatCode>0.0%</c:formatCode>
                <c:ptCount val="4"/>
                <c:pt idx="0">
                  <c:v>5.969640115981667E-3</c:v>
                </c:pt>
                <c:pt idx="1">
                  <c:v>9.4369018473180466E-2</c:v>
                </c:pt>
                <c:pt idx="2">
                  <c:v>-1.0031423737007494E-2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4F-4242-B483-15F5518DA68D}"/>
            </c:ext>
          </c:extLst>
        </c:ser>
        <c:ser>
          <c:idx val="6"/>
          <c:order val="4"/>
          <c:tx>
            <c:strRef>
              <c:f>'distribución españoles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cate'!$T$7:$T$12</c:f>
              <c:numCache>
                <c:formatCode>0.0%</c:formatCode>
                <c:ptCount val="4"/>
                <c:pt idx="0">
                  <c:v>1</c:v>
                </c:pt>
                <c:pt idx="1">
                  <c:v>0.16673448626653103</c:v>
                </c:pt>
                <c:pt idx="2">
                  <c:v>0.83326551373346902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4F-4242-B483-15F5518DA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cate'!$O$5</c:f>
          <c:strCache>
            <c:ptCount val="1"/>
            <c:pt idx="0">
              <c:v>acumulado octubre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peninsulare x cate'!$O$5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115-42DD-9E29-0113A561C96F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15-42DD-9E29-0113A561C96F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15-42DD-9E29-0113A561C96F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15-42DD-9E29-0113A561C96F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peninsulare x cate'!$B$8:$B$9,'distribución peninsulare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peninsulare x cate'!$O$8:$O$9,'distribución peninsulare x cate'!$O$11:$O$12)</c:f>
              <c:numCache>
                <c:formatCode>#,##0</c:formatCode>
                <c:ptCount val="2"/>
                <c:pt idx="0">
                  <c:v>1177</c:v>
                </c:pt>
                <c:pt idx="1">
                  <c:v>17187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15-42DD-9E29-0113A561C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cate'!$B$3</c:f>
          <c:strCache>
            <c:ptCount val="1"/>
            <c:pt idx="0">
              <c:v>Viajeros peninsulares entrados en los hoteles y apartamentos de San Cristóbal de La Laguna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peninsulare x cate'!$G$5</c:f>
              <c:strCache>
                <c:ptCount val="1"/>
                <c:pt idx="0">
                  <c:v>acumulado octubre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peninsulare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peninsulare x cate'!$G$7:$G$10</c:f>
              <c:numCache>
                <c:formatCode>#,##0</c:formatCode>
                <c:ptCount val="4"/>
                <c:pt idx="0">
                  <c:v>22489</c:v>
                </c:pt>
                <c:pt idx="1">
                  <c:v>1059</c:v>
                </c:pt>
                <c:pt idx="2">
                  <c:v>17520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8-4687-923D-32A53CDB375E}"/>
            </c:ext>
          </c:extLst>
        </c:ser>
        <c:ser>
          <c:idx val="1"/>
          <c:order val="1"/>
          <c:tx>
            <c:strRef>
              <c:f>'distribución peninsulare x cate'!$K$5</c:f>
              <c:strCache>
                <c:ptCount val="1"/>
                <c:pt idx="0">
                  <c:v>acumulado octubre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cate'!$K$7:$K$12</c:f>
              <c:numCache>
                <c:formatCode>#,##0</c:formatCode>
                <c:ptCount val="4"/>
                <c:pt idx="0">
                  <c:v>20148</c:v>
                </c:pt>
                <c:pt idx="1">
                  <c:v>1259</c:v>
                </c:pt>
                <c:pt idx="2">
                  <c:v>18889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18-4687-923D-32A53CDB375E}"/>
            </c:ext>
          </c:extLst>
        </c:ser>
        <c:ser>
          <c:idx val="2"/>
          <c:order val="2"/>
          <c:tx>
            <c:strRef>
              <c:f>'distribución peninsulare x cate'!$O$5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cate'!$O$7:$O$12</c:f>
              <c:numCache>
                <c:formatCode>#,##0</c:formatCode>
                <c:ptCount val="4"/>
                <c:pt idx="0">
                  <c:v>18580</c:v>
                </c:pt>
                <c:pt idx="1">
                  <c:v>1177</c:v>
                </c:pt>
                <c:pt idx="2">
                  <c:v>17187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18-4687-923D-32A53CDB3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peninsulare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cate'!$P$7:$P$12</c:f>
              <c:numCache>
                <c:formatCode>0.0%</c:formatCode>
                <c:ptCount val="4"/>
                <c:pt idx="0">
                  <c:v>-7.7824101647806287E-2</c:v>
                </c:pt>
                <c:pt idx="1">
                  <c:v>-6.5131056393963438E-2</c:v>
                </c:pt>
                <c:pt idx="2">
                  <c:v>-9.0105352321456889E-2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18-4687-923D-32A53CDB375E}"/>
            </c:ext>
          </c:extLst>
        </c:ser>
        <c:ser>
          <c:idx val="6"/>
          <c:order val="4"/>
          <c:tx>
            <c:strRef>
              <c:f>'distribución peninsulare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cate'!$T$7:$T$12</c:f>
              <c:numCache>
                <c:formatCode>0.0%</c:formatCode>
                <c:ptCount val="4"/>
                <c:pt idx="0">
                  <c:v>1</c:v>
                </c:pt>
                <c:pt idx="1">
                  <c:v>6.3347685683530677E-2</c:v>
                </c:pt>
                <c:pt idx="2">
                  <c:v>0.92502691065662002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18-4687-923D-32A53CDB3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cate'!$O$5</c:f>
          <c:strCache>
            <c:ptCount val="1"/>
            <c:pt idx="0">
              <c:v>acumulado octubre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canarios x cate'!$O$5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C1F-4588-B242-A9BF3825B858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1F-4588-B242-A9BF3825B858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1F-4588-B242-A9BF3825B858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1F-4588-B242-A9BF3825B858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canarios x cate'!$B$8:$B$9,'distribución canarios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canarios x cate'!$O$8:$O$9,'distribución canarios x cate'!$O$11:$O$12)</c:f>
              <c:numCache>
                <c:formatCode>#,##0</c:formatCode>
                <c:ptCount val="2"/>
                <c:pt idx="0">
                  <c:v>3138</c:v>
                </c:pt>
                <c:pt idx="1">
                  <c:v>7386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1F-4588-B242-A9BF3825B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cate'!$B$3</c:f>
          <c:strCache>
            <c:ptCount val="1"/>
            <c:pt idx="0">
              <c:v>Viajeros canarios entrados en los hoteles y apartamentos de San Cristóbal de La Laguna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canarios x cate'!$G$5</c:f>
              <c:strCache>
                <c:ptCount val="1"/>
                <c:pt idx="0">
                  <c:v>acumulado octubre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canarios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canarios x cate'!$G$7:$G$10</c:f>
              <c:numCache>
                <c:formatCode>#,##0</c:formatCode>
                <c:ptCount val="4"/>
                <c:pt idx="0">
                  <c:v>10196</c:v>
                </c:pt>
                <c:pt idx="1">
                  <c:v>2505</c:v>
                </c:pt>
                <c:pt idx="2">
                  <c:v>5043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97-489B-BCEE-00FA129BEB19}"/>
            </c:ext>
          </c:extLst>
        </c:ser>
        <c:ser>
          <c:idx val="1"/>
          <c:order val="1"/>
          <c:tx>
            <c:strRef>
              <c:f>'distribución canarios x cate'!$K$5</c:f>
              <c:strCache>
                <c:ptCount val="1"/>
                <c:pt idx="0">
                  <c:v>acumulado octubre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cate'!$K$7:$K$12</c:f>
              <c:numCache>
                <c:formatCode>#,##0</c:formatCode>
                <c:ptCount val="4"/>
                <c:pt idx="0">
                  <c:v>9167</c:v>
                </c:pt>
                <c:pt idx="1">
                  <c:v>3234</c:v>
                </c:pt>
                <c:pt idx="2">
                  <c:v>5933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97-489B-BCEE-00FA129BEB19}"/>
            </c:ext>
          </c:extLst>
        </c:ser>
        <c:ser>
          <c:idx val="2"/>
          <c:order val="2"/>
          <c:tx>
            <c:strRef>
              <c:f>'distribución canarios x cate'!$O$5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cate'!$O$7:$O$12</c:f>
              <c:numCache>
                <c:formatCode>#,##0</c:formatCode>
                <c:ptCount val="4"/>
                <c:pt idx="0">
                  <c:v>10910</c:v>
                </c:pt>
                <c:pt idx="1">
                  <c:v>3138</c:v>
                </c:pt>
                <c:pt idx="2">
                  <c:v>7386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97-489B-BCEE-00FA129BE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canarios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cate'!$P$7:$P$12</c:f>
              <c:numCache>
                <c:formatCode>0.0%</c:formatCode>
                <c:ptCount val="4"/>
                <c:pt idx="0">
                  <c:v>0.19013854041671219</c:v>
                </c:pt>
                <c:pt idx="1">
                  <c:v>-2.9684601113172504E-2</c:v>
                </c:pt>
                <c:pt idx="2">
                  <c:v>0.24490139895499752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97-489B-BCEE-00FA129BEB19}"/>
            </c:ext>
          </c:extLst>
        </c:ser>
        <c:ser>
          <c:idx val="6"/>
          <c:order val="4"/>
          <c:tx>
            <c:strRef>
              <c:f>'distribución canarios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cate'!$T$7:$T$12</c:f>
              <c:numCache>
                <c:formatCode>0.0%</c:formatCode>
                <c:ptCount val="4"/>
                <c:pt idx="0">
                  <c:v>1</c:v>
                </c:pt>
                <c:pt idx="1">
                  <c:v>0.28762603116406965</c:v>
                </c:pt>
                <c:pt idx="2">
                  <c:v>0.67699358386801101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97-489B-BCEE-00FA129BE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al'!$O$5</c:f>
          <c:strCache>
            <c:ptCount val="1"/>
            <c:pt idx="0">
              <c:v>acumulado octubre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mun al'!$O$5</c:f>
              <c:strCache>
                <c:ptCount val="1"/>
                <c:pt idx="0">
                  <c:v>acumulado octubre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4CD-488E-A710-80A1DC7FEA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4CD-488E-A710-80A1DC7FEA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4CD-488E-A710-80A1DC7FEA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4CD-488E-A710-80A1DC7FEA7A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4CD-488E-A710-80A1DC7FEA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4CD-488E-A710-80A1DC7FEA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4CD-488E-A710-80A1DC7FEA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4CD-488E-A710-80A1DC7FEA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4CD-488E-A710-80A1DC7FEA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4CD-488E-A710-80A1DC7FEA7A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CD-488E-A710-80A1DC7FEA7A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CD-488E-A710-80A1DC7FEA7A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CD-488E-A710-80A1DC7FEA7A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CD-488E-A710-80A1DC7FEA7A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CD-488E-A710-80A1DC7FEA7A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4CD-488E-A710-80A1DC7FEA7A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4CD-488E-A710-80A1DC7FEA7A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4CD-488E-A710-80A1DC7FEA7A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4CD-488E-A710-80A1DC7FEA7A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4CD-488E-A710-80A1DC7FEA7A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131048</c:v>
                </c:pt>
                <c:pt idx="1">
                  <c:v>103829</c:v>
                </c:pt>
                <c:pt idx="2">
                  <c:v>8209</c:v>
                </c:pt>
                <c:pt idx="3">
                  <c:v>353464</c:v>
                </c:pt>
                <c:pt idx="4">
                  <c:v>47009</c:v>
                </c:pt>
                <c:pt idx="5">
                  <c:v>148985</c:v>
                </c:pt>
                <c:pt idx="6">
                  <c:v>29490</c:v>
                </c:pt>
                <c:pt idx="7">
                  <c:v>29464</c:v>
                </c:pt>
                <c:pt idx="8">
                  <c:v>36983</c:v>
                </c:pt>
                <c:pt idx="9">
                  <c:v>47076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4CD-488E-A710-80A1DC7FE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F3-475E-858B-A1B5A75560D2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F3-475E-858B-A1B5A75560D2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F3-475E-858B-A1B5A75560D2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F3-475E-858B-A1B5A75560D2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F3-475E-858B-A1B5A75560D2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F3-475E-858B-A1B5A75560D2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F3-475E-858B-A1B5A75560D2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F3-475E-858B-A1B5A75560D2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F3-475E-858B-A1B5A75560D2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F3-475E-858B-A1B5A75560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03F3-475E-858B-A1B5A75560D2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F3-475E-858B-A1B5A75560D2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3F3-475E-858B-A1B5A75560D2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3F3-475E-858B-A1B5A75560D2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3F3-475E-858B-A1B5A75560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03F3-475E-858B-A1B5A75560D2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03F3-475E-858B-A1B5A75560D2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3F3-475E-858B-A1B5A75560D2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3F3-475E-858B-A1B5A75560D2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3F3-475E-858B-A1B5A75560D2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3F3-475E-858B-A1B5A75560D2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3F3-475E-858B-A1B5A75560D2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3F3-475E-858B-A1B5A75560D2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3F3-475E-858B-A1B5A75560D2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3F3-475E-858B-A1B5A75560D2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3F3-475E-858B-A1B5A75560D2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3F3-475E-858B-A1B5A75560D2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3F3-475E-858B-A1B5A75560D2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3F3-475E-858B-A1B5A75560D2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3F3-475E-858B-A1B5A75560D2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3F3-475E-858B-A1B5A75560D2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3F3-475E-858B-A1B5A75560D2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3F3-475E-858B-A1B5A75560D2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03F3-475E-858B-A1B5A75560D2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03F3-475E-858B-A1B5A75560D2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03F3-475E-858B-A1B5A75560D2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03F3-475E-858B-A1B5A75560D2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03F3-475E-858B-A1B5A75560D2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03F3-475E-858B-A1B5A75560D2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03F3-475E-858B-A1B5A75560D2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03F3-475E-858B-A1B5A75560D2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03F3-475E-858B-A1B5A75560D2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03F3-475E-858B-A1B5A75560D2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03F3-475E-858B-A1B5A75560D2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03F3-475E-858B-A1B5A75560D2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03F3-475E-858B-A1B5A75560D2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03F3-475E-858B-A1B5A75560D2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03F3-475E-858B-A1B5A75560D2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03F3-475E-858B-A1B5A75560D2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03F3-475E-858B-A1B5A75560D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3F3-475E-858B-A1B5A75560D2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3F3-475E-858B-A1B5A75560D2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3F3-475E-858B-A1B5A75560D2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3F3-475E-858B-A1B5A75560D2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3F3-475E-858B-A1B5A75560D2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3F3-475E-858B-A1B5A75560D2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3F3-475E-858B-A1B5A75560D2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3F3-475E-858B-A1B5A75560D2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3F3-475E-858B-A1B5A75560D2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03F3-475E-858B-A1B5A75560D2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03F3-475E-858B-A1B5A75560D2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03F3-475E-858B-A1B5A75560D2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03F3-475E-858B-A1B5A75560D2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03F3-475E-858B-A1B5A75560D2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03F3-475E-858B-A1B5A75560D2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03F3-475E-858B-A1B5A75560D2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03F3-475E-858B-A1B5A75560D2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03F3-475E-858B-A1B5A75560D2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03F3-475E-858B-A1B5A75560D2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03F3-475E-858B-A1B5A75560D2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03F3-475E-858B-A1B5A75560D2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03F3-475E-858B-A1B5A75560D2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03F3-475E-858B-A1B5A75560D2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03F3-475E-858B-A1B5A75560D2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03F3-475E-858B-A1B5A75560D2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03F3-475E-858B-A1B5A75560D2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03F3-475E-858B-A1B5A75560D2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03F3-475E-858B-A1B5A75560D2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03F3-475E-858B-A1B5A75560D2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03F3-475E-858B-A1B5A75560D2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03F3-475E-858B-A1B5A75560D2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03F3-475E-858B-A1B5A75560D2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03F3-475E-858B-A1B5A75560D2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03F3-475E-858B-A1B5A7556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1C3-43CA-A2C2-CCED0E5059E3}"/>
              </c:ext>
            </c:extLst>
          </c:dPt>
          <c:val>
            <c:numRef>
              <c:f>'Viajeros entr evol mensu TF'!$I$163:$I$175</c:f>
              <c:numCache>
                <c:formatCode>#,##0</c:formatCode>
                <c:ptCount val="13"/>
                <c:pt idx="0">
                  <c:v>488</c:v>
                </c:pt>
                <c:pt idx="1">
                  <c:v>402</c:v>
                </c:pt>
                <c:pt idx="2">
                  <c:v>468</c:v>
                </c:pt>
                <c:pt idx="3">
                  <c:v>300</c:v>
                </c:pt>
                <c:pt idx="4">
                  <c:v>309</c:v>
                </c:pt>
                <c:pt idx="5">
                  <c:v>150</c:v>
                </c:pt>
                <c:pt idx="6">
                  <c:v>186</c:v>
                </c:pt>
                <c:pt idx="7">
                  <c:v>328</c:v>
                </c:pt>
                <c:pt idx="8">
                  <c:v>208</c:v>
                </c:pt>
                <c:pt idx="9">
                  <c:v>290</c:v>
                </c:pt>
                <c:pt idx="10">
                  <c:v>452</c:v>
                </c:pt>
                <c:pt idx="11">
                  <c:v>304</c:v>
                </c:pt>
                <c:pt idx="12">
                  <c:v>3885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C3-43CA-A2C2-CCED0E5059E3}"/>
            </c:ext>
          </c:extLst>
        </c:ser>
        <c:ser>
          <c:idx val="0"/>
          <c:order val="2"/>
          <c:tx>
            <c:strRef>
              <c:f>'Viajeros entr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1C3-43CA-A2C2-CCED0E5059E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TF'!$K$163:$K$175</c:f>
              <c:numCache>
                <c:formatCode>#,##0</c:formatCode>
                <c:ptCount val="13"/>
                <c:pt idx="0">
                  <c:v>385</c:v>
                </c:pt>
                <c:pt idx="1">
                  <c:v>456</c:v>
                </c:pt>
                <c:pt idx="2">
                  <c:v>490</c:v>
                </c:pt>
                <c:pt idx="3">
                  <c:v>339</c:v>
                </c:pt>
                <c:pt idx="4">
                  <c:v>294</c:v>
                </c:pt>
                <c:pt idx="5">
                  <c:v>118</c:v>
                </c:pt>
                <c:pt idx="6">
                  <c:v>184</c:v>
                </c:pt>
                <c:pt idx="7">
                  <c:v>334</c:v>
                </c:pt>
                <c:pt idx="8">
                  <c:v>152</c:v>
                </c:pt>
                <c:pt idx="9">
                  <c:v>286</c:v>
                </c:pt>
                <c:pt idx="10">
                  <c:v>367</c:v>
                </c:pt>
                <c:pt idx="11">
                  <c:v>280</c:v>
                </c:pt>
                <c:pt idx="12">
                  <c:v>3685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1C3-43CA-A2C2-CCED0E5059E3}"/>
            </c:ext>
          </c:extLst>
        </c:ser>
        <c:ser>
          <c:idx val="1"/>
          <c:order val="3"/>
          <c:tx>
            <c:strRef>
              <c:f>'Viajeros entr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1C3-43CA-A2C2-CCED0E5059E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1C3-43CA-A2C2-CCED0E5059E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TF'!$M$163:$M$175</c:f>
              <c:numCache>
                <c:formatCode>#,##0</c:formatCode>
                <c:ptCount val="13"/>
                <c:pt idx="0">
                  <c:v>398</c:v>
                </c:pt>
                <c:pt idx="1">
                  <c:v>412</c:v>
                </c:pt>
                <c:pt idx="2">
                  <c:v>507</c:v>
                </c:pt>
                <c:pt idx="3">
                  <c:v>287</c:v>
                </c:pt>
                <c:pt idx="4">
                  <c:v>288</c:v>
                </c:pt>
                <c:pt idx="5">
                  <c:v>138</c:v>
                </c:pt>
                <c:pt idx="6">
                  <c:v>143</c:v>
                </c:pt>
                <c:pt idx="7">
                  <c:v>350</c:v>
                </c:pt>
                <c:pt idx="8">
                  <c:v>204</c:v>
                </c:pt>
                <c:pt idx="9">
                  <c:v>297</c:v>
                </c:pt>
                <c:pt idx="12">
                  <c:v>3024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1C3-43CA-A2C2-CCED0E505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1C3-43CA-A2C2-CCED0E5059E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405</c:v>
                      </c:pt>
                      <c:pt idx="1">
                        <c:v>500</c:v>
                      </c:pt>
                      <c:pt idx="2">
                        <c:v>256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285</c:v>
                      </c:pt>
                      <c:pt idx="8">
                        <c:v>48</c:v>
                      </c:pt>
                      <c:pt idx="9">
                        <c:v>154</c:v>
                      </c:pt>
                      <c:pt idx="10">
                        <c:v>49</c:v>
                      </c:pt>
                      <c:pt idx="11">
                        <c:v>202</c:v>
                      </c:pt>
                      <c:pt idx="12">
                        <c:v>1974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1C3-43CA-A2C2-CCED0E5059E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1C3-43CA-A2C2-CCED0E5059E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1C3-43CA-A2C2-CCED0E5059E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1C3-43CA-A2C2-CCED0E5059E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1C3-43CA-A2C2-CCED0E5059E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1C3-43CA-A2C2-CCED0E5059E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1C3-43CA-A2C2-CCED0E5059E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1C3-43CA-A2C2-CCED0E5059E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1C3-43CA-A2C2-CCED0E5059E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1C3-43CA-A2C2-CCED0E5059E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1C3-43CA-A2C2-CCED0E5059E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1C3-43CA-A2C2-CCED0E5059E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1C3-43CA-A2C2-CCED0E5059E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1C3-43CA-A2C2-CCED0E5059E3}"/>
              </c:ext>
            </c:extLst>
          </c:dPt>
          <c:cat>
            <c:strRef>
              <c:f>'Viajeros entr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TF'!$N$163:$N$175</c:f>
              <c:numCache>
                <c:formatCode>0.0%</c:formatCode>
                <c:ptCount val="13"/>
                <c:pt idx="0">
                  <c:v>3.3766233766233666E-2</c:v>
                </c:pt>
                <c:pt idx="1">
                  <c:v>-9.6491228070175405E-2</c:v>
                </c:pt>
                <c:pt idx="2">
                  <c:v>3.469387755102038E-2</c:v>
                </c:pt>
                <c:pt idx="3">
                  <c:v>-0.15339233038348088</c:v>
                </c:pt>
                <c:pt idx="4">
                  <c:v>-2.0408163265306145E-2</c:v>
                </c:pt>
                <c:pt idx="5">
                  <c:v>0.16949152542372881</c:v>
                </c:pt>
                <c:pt idx="6">
                  <c:v>-0.22282608695652173</c:v>
                </c:pt>
                <c:pt idx="7">
                  <c:v>4.7904191616766401E-2</c:v>
                </c:pt>
                <c:pt idx="8">
                  <c:v>0.34210526315789469</c:v>
                </c:pt>
                <c:pt idx="9">
                  <c:v>3.8461538461538547E-2</c:v>
                </c:pt>
                <c:pt idx="12">
                  <c:v>-4.6082949308755561E-3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1C3-43CA-A2C2-CCED0E505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al'!$B$3</c:f>
          <c:strCache>
            <c:ptCount val="1"/>
            <c:pt idx="0">
              <c:v>Viajeros españoles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mun al'!$G$5</c:f>
              <c:strCache>
                <c:ptCount val="1"/>
                <c:pt idx="0">
                  <c:v>acumulado octubre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al'!$G$7:$G$16</c:f>
              <c:numCache>
                <c:formatCode>#,##0</c:formatCode>
                <c:ptCount val="10"/>
                <c:pt idx="0">
                  <c:v>161501</c:v>
                </c:pt>
                <c:pt idx="1">
                  <c:v>104488</c:v>
                </c:pt>
                <c:pt idx="2">
                  <c:v>17500</c:v>
                </c:pt>
                <c:pt idx="3">
                  <c:v>304437</c:v>
                </c:pt>
                <c:pt idx="4">
                  <c:v>49296</c:v>
                </c:pt>
                <c:pt idx="5">
                  <c:v>122286</c:v>
                </c:pt>
                <c:pt idx="6">
                  <c:v>32685</c:v>
                </c:pt>
                <c:pt idx="7">
                  <c:v>28851</c:v>
                </c:pt>
                <c:pt idx="8">
                  <c:v>40798</c:v>
                </c:pt>
                <c:pt idx="9">
                  <c:v>52055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59-422A-8B9A-69A79C08BC0E}"/>
            </c:ext>
          </c:extLst>
        </c:ser>
        <c:ser>
          <c:idx val="1"/>
          <c:order val="1"/>
          <c:tx>
            <c:strRef>
              <c:f>'distribución españoles x mun al'!$K$5</c:f>
              <c:strCache>
                <c:ptCount val="1"/>
                <c:pt idx="0">
                  <c:v>acumulado octubre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al'!$K$7:$K$16</c:f>
              <c:numCache>
                <c:formatCode>#,##0</c:formatCode>
                <c:ptCount val="10"/>
                <c:pt idx="0">
                  <c:v>142945</c:v>
                </c:pt>
                <c:pt idx="1">
                  <c:v>100942</c:v>
                </c:pt>
                <c:pt idx="2">
                  <c:v>9811</c:v>
                </c:pt>
                <c:pt idx="3">
                  <c:v>336795</c:v>
                </c:pt>
                <c:pt idx="4">
                  <c:v>44255</c:v>
                </c:pt>
                <c:pt idx="5">
                  <c:v>128586</c:v>
                </c:pt>
                <c:pt idx="6">
                  <c:v>29315</c:v>
                </c:pt>
                <c:pt idx="7">
                  <c:v>26485</c:v>
                </c:pt>
                <c:pt idx="8">
                  <c:v>53591</c:v>
                </c:pt>
                <c:pt idx="9">
                  <c:v>48038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59-422A-8B9A-69A79C08BC0E}"/>
            </c:ext>
          </c:extLst>
        </c:ser>
        <c:ser>
          <c:idx val="2"/>
          <c:order val="2"/>
          <c:tx>
            <c:strRef>
              <c:f>'distribución españoles x mun al'!$O$5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131048</c:v>
                </c:pt>
                <c:pt idx="1">
                  <c:v>103829</c:v>
                </c:pt>
                <c:pt idx="2">
                  <c:v>8209</c:v>
                </c:pt>
                <c:pt idx="3">
                  <c:v>353464</c:v>
                </c:pt>
                <c:pt idx="4">
                  <c:v>47009</c:v>
                </c:pt>
                <c:pt idx="5">
                  <c:v>148985</c:v>
                </c:pt>
                <c:pt idx="6">
                  <c:v>29490</c:v>
                </c:pt>
                <c:pt idx="7">
                  <c:v>29464</c:v>
                </c:pt>
                <c:pt idx="8">
                  <c:v>36983</c:v>
                </c:pt>
                <c:pt idx="9">
                  <c:v>47076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59-422A-8B9A-69A79C08B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mun al'!$P$5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al'!$P$7:$P$16</c:f>
              <c:numCache>
                <c:formatCode>0.0%</c:formatCode>
                <c:ptCount val="10"/>
                <c:pt idx="0">
                  <c:v>-8.3227814893840235E-2</c:v>
                </c:pt>
                <c:pt idx="1">
                  <c:v>2.8600582512730011E-2</c:v>
                </c:pt>
                <c:pt idx="2">
                  <c:v>-0.16328610743043526</c:v>
                </c:pt>
                <c:pt idx="3">
                  <c:v>4.9493015038821753E-2</c:v>
                </c:pt>
                <c:pt idx="4">
                  <c:v>6.2230256468195577E-2</c:v>
                </c:pt>
                <c:pt idx="5">
                  <c:v>0.15864090958580257</c:v>
                </c:pt>
                <c:pt idx="6">
                  <c:v>5.969640115981667E-3</c:v>
                </c:pt>
                <c:pt idx="7">
                  <c:v>0.11247876156314884</c:v>
                </c:pt>
                <c:pt idx="8">
                  <c:v>-0.30990278218357559</c:v>
                </c:pt>
                <c:pt idx="9">
                  <c:v>-2.002581289812233E-2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59-422A-8B9A-69A79C08BC0E}"/>
            </c:ext>
          </c:extLst>
        </c:ser>
        <c:ser>
          <c:idx val="6"/>
          <c:order val="4"/>
          <c:tx>
            <c:strRef>
              <c:f>'distribución españoles x mun al'!$T$5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al'!$T$7:$T$16</c:f>
              <c:numCache>
                <c:formatCode>0.0%</c:formatCode>
                <c:ptCount val="10"/>
                <c:pt idx="0">
                  <c:v>0.1400748431148503</c:v>
                </c:pt>
                <c:pt idx="1">
                  <c:v>0.11098094504129626</c:v>
                </c:pt>
                <c:pt idx="2">
                  <c:v>8.7744520109410765E-3</c:v>
                </c:pt>
                <c:pt idx="3">
                  <c:v>0.37781129316546186</c:v>
                </c:pt>
                <c:pt idx="4">
                  <c:v>5.0247072065090638E-2</c:v>
                </c:pt>
                <c:pt idx="5">
                  <c:v>0.15924737883421319</c:v>
                </c:pt>
                <c:pt idx="6">
                  <c:v>3.1521329005073984E-2</c:v>
                </c:pt>
                <c:pt idx="7">
                  <c:v>3.1493538074109859E-2</c:v>
                </c:pt>
                <c:pt idx="8">
                  <c:v>3.9530461532541576E-2</c:v>
                </c:pt>
                <c:pt idx="9">
                  <c:v>5.0318687156421252E-2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59-422A-8B9A-69A79C08B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munici'!$O$5</c:f>
          <c:strCache>
            <c:ptCount val="1"/>
            <c:pt idx="0">
              <c:v>acumulado octubre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 x munici'!$O$5</c:f>
              <c:strCache>
                <c:ptCount val="1"/>
                <c:pt idx="0">
                  <c:v>acumulado octubre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4F-4BF0-A31C-3C028A3E2F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4F-4BF0-A31C-3C028A3E2F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4F-4BF0-A31C-3C028A3E2F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4F-4BF0-A31C-3C028A3E2F9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4F-4BF0-A31C-3C028A3E2F9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C4F-4BF0-A31C-3C028A3E2F9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C4F-4BF0-A31C-3C028A3E2F9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C4F-4BF0-A31C-3C028A3E2F9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C4F-4BF0-A31C-3C028A3E2F9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C4F-4BF0-A31C-3C028A3E2F9D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4F-4BF0-A31C-3C028A3E2F9D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4F-4BF0-A31C-3C028A3E2F9D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4F-4BF0-A31C-3C028A3E2F9D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4F-4BF0-A31C-3C028A3E2F9D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4F-4BF0-A31C-3C028A3E2F9D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4F-4BF0-A31C-3C028A3E2F9D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4F-4BF0-A31C-3C028A3E2F9D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C4F-4BF0-A31C-3C028A3E2F9D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C4F-4BF0-A31C-3C028A3E2F9D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AC4F-4BF0-A31C-3C028A3E2F9D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69755</c:v>
                </c:pt>
                <c:pt idx="1">
                  <c:v>57774</c:v>
                </c:pt>
                <c:pt idx="2">
                  <c:v>3440</c:v>
                </c:pt>
                <c:pt idx="3">
                  <c:v>262348</c:v>
                </c:pt>
                <c:pt idx="4">
                  <c:v>29041</c:v>
                </c:pt>
                <c:pt idx="5">
                  <c:v>70301</c:v>
                </c:pt>
                <c:pt idx="6">
                  <c:v>18580</c:v>
                </c:pt>
                <c:pt idx="7">
                  <c:v>11339</c:v>
                </c:pt>
                <c:pt idx="8">
                  <c:v>23171</c:v>
                </c:pt>
                <c:pt idx="9">
                  <c:v>17563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C4F-4BF0-A31C-3C028A3E2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38-4293-B589-6306BCCF0F85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38-4293-B589-6306BCCF0F85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38-4293-B589-6306BCCF0F85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38-4293-B589-6306BCCF0F85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38-4293-B589-6306BCCF0F85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38-4293-B589-6306BCCF0F85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38-4293-B589-6306BCCF0F85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38-4293-B589-6306BCCF0F85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A38-4293-B589-6306BCCF0F85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A38-4293-B589-6306BCCF0F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4A38-4293-B589-6306BCCF0F85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A38-4293-B589-6306BCCF0F85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A38-4293-B589-6306BCCF0F85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A38-4293-B589-6306BCCF0F85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A38-4293-B589-6306BCCF0F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4A38-4293-B589-6306BCCF0F85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4A38-4293-B589-6306BCCF0F85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A38-4293-B589-6306BCCF0F85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A38-4293-B589-6306BCCF0F85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A38-4293-B589-6306BCCF0F85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A38-4293-B589-6306BCCF0F85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A38-4293-B589-6306BCCF0F85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A38-4293-B589-6306BCCF0F85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A38-4293-B589-6306BCCF0F85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A38-4293-B589-6306BCCF0F85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A38-4293-B589-6306BCCF0F85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A38-4293-B589-6306BCCF0F85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A38-4293-B589-6306BCCF0F85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A38-4293-B589-6306BCCF0F85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A38-4293-B589-6306BCCF0F85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A38-4293-B589-6306BCCF0F85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A38-4293-B589-6306BCCF0F85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A38-4293-B589-6306BCCF0F85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4A38-4293-B589-6306BCCF0F85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4A38-4293-B589-6306BCCF0F85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4A38-4293-B589-6306BCCF0F85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4A38-4293-B589-6306BCCF0F85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4A38-4293-B589-6306BCCF0F85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4A38-4293-B589-6306BCCF0F85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4A38-4293-B589-6306BCCF0F85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4A38-4293-B589-6306BCCF0F85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4A38-4293-B589-6306BCCF0F85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4A38-4293-B589-6306BCCF0F85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4A38-4293-B589-6306BCCF0F85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4A38-4293-B589-6306BCCF0F85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4A38-4293-B589-6306BCCF0F85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4A38-4293-B589-6306BCCF0F85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4A38-4293-B589-6306BCCF0F85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4A38-4293-B589-6306BCCF0F85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4A38-4293-B589-6306BCCF0F8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A38-4293-B589-6306BCCF0F85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A38-4293-B589-6306BCCF0F85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A38-4293-B589-6306BCCF0F85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A38-4293-B589-6306BCCF0F85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A38-4293-B589-6306BCCF0F85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A38-4293-B589-6306BCCF0F85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A38-4293-B589-6306BCCF0F85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A38-4293-B589-6306BCCF0F85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A38-4293-B589-6306BCCF0F85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4A38-4293-B589-6306BCCF0F85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4A38-4293-B589-6306BCCF0F85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4A38-4293-B589-6306BCCF0F85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4A38-4293-B589-6306BCCF0F85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4A38-4293-B589-6306BCCF0F85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4A38-4293-B589-6306BCCF0F85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4A38-4293-B589-6306BCCF0F85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4A38-4293-B589-6306BCCF0F85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A38-4293-B589-6306BCCF0F85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4A38-4293-B589-6306BCCF0F85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4A38-4293-B589-6306BCCF0F85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4A38-4293-B589-6306BCCF0F85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4A38-4293-B589-6306BCCF0F85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4A38-4293-B589-6306BCCF0F85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4A38-4293-B589-6306BCCF0F85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4A38-4293-B589-6306BCCF0F85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4A38-4293-B589-6306BCCF0F85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4A38-4293-B589-6306BCCF0F85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4A38-4293-B589-6306BCCF0F85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4A38-4293-B589-6306BCCF0F85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4A38-4293-B589-6306BCCF0F85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4A38-4293-B589-6306BCCF0F85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4A38-4293-B589-6306BCCF0F85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4A38-4293-B589-6306BCCF0F85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4A38-4293-B589-6306BCCF0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munici'!$B$3</c:f>
          <c:strCache>
            <c:ptCount val="1"/>
            <c:pt idx="0">
              <c:v>Viajeros peninsulares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 x munici'!$G$5</c:f>
              <c:strCache>
                <c:ptCount val="1"/>
                <c:pt idx="0">
                  <c:v>acumulado octubre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munici'!$G$7:$G$16</c:f>
              <c:numCache>
                <c:formatCode>#,##0</c:formatCode>
                <c:ptCount val="10"/>
                <c:pt idx="0">
                  <c:v>92954</c:v>
                </c:pt>
                <c:pt idx="1">
                  <c:v>58131</c:v>
                </c:pt>
                <c:pt idx="2">
                  <c:v>4579</c:v>
                </c:pt>
                <c:pt idx="3">
                  <c:v>221702</c:v>
                </c:pt>
                <c:pt idx="4">
                  <c:v>31028</c:v>
                </c:pt>
                <c:pt idx="5">
                  <c:v>66570</c:v>
                </c:pt>
                <c:pt idx="6">
                  <c:v>22489</c:v>
                </c:pt>
                <c:pt idx="7">
                  <c:v>9698</c:v>
                </c:pt>
                <c:pt idx="8">
                  <c:v>12212</c:v>
                </c:pt>
                <c:pt idx="9">
                  <c:v>13546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F-4A11-9D78-A790567B4B04}"/>
            </c:ext>
          </c:extLst>
        </c:ser>
        <c:ser>
          <c:idx val="1"/>
          <c:order val="1"/>
          <c:tx>
            <c:strRef>
              <c:f>'distribución peninsula x munici'!$K$5</c:f>
              <c:strCache>
                <c:ptCount val="1"/>
                <c:pt idx="0">
                  <c:v>acumulado octubre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munici'!$K$7:$K$16</c:f>
              <c:numCache>
                <c:formatCode>#,##0</c:formatCode>
                <c:ptCount val="10"/>
                <c:pt idx="0">
                  <c:v>88222</c:v>
                </c:pt>
                <c:pt idx="1">
                  <c:v>55491</c:v>
                </c:pt>
                <c:pt idx="2">
                  <c:v>3106</c:v>
                </c:pt>
                <c:pt idx="3">
                  <c:v>242379</c:v>
                </c:pt>
                <c:pt idx="4">
                  <c:v>29568</c:v>
                </c:pt>
                <c:pt idx="5">
                  <c:v>66129</c:v>
                </c:pt>
                <c:pt idx="6">
                  <c:v>20148</c:v>
                </c:pt>
                <c:pt idx="7">
                  <c:v>8923</c:v>
                </c:pt>
                <c:pt idx="8">
                  <c:v>19824</c:v>
                </c:pt>
                <c:pt idx="9">
                  <c:v>15765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CF-4A11-9D78-A790567B4B04}"/>
            </c:ext>
          </c:extLst>
        </c:ser>
        <c:ser>
          <c:idx val="2"/>
          <c:order val="2"/>
          <c:tx>
            <c:strRef>
              <c:f>'distribución peninsula x munici'!$O$5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69755</c:v>
                </c:pt>
                <c:pt idx="1">
                  <c:v>57774</c:v>
                </c:pt>
                <c:pt idx="2">
                  <c:v>3440</c:v>
                </c:pt>
                <c:pt idx="3">
                  <c:v>262348</c:v>
                </c:pt>
                <c:pt idx="4">
                  <c:v>29041</c:v>
                </c:pt>
                <c:pt idx="5">
                  <c:v>70301</c:v>
                </c:pt>
                <c:pt idx="6">
                  <c:v>18580</c:v>
                </c:pt>
                <c:pt idx="7">
                  <c:v>11339</c:v>
                </c:pt>
                <c:pt idx="8">
                  <c:v>23171</c:v>
                </c:pt>
                <c:pt idx="9">
                  <c:v>17563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CF-4A11-9D78-A790567B4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munici'!$P$7:$P$16</c:f>
              <c:numCache>
                <c:formatCode>0.0%</c:formatCode>
                <c:ptCount val="10"/>
                <c:pt idx="0">
                  <c:v>-0.20932420484686365</c:v>
                </c:pt>
                <c:pt idx="1">
                  <c:v>4.1141806779477763E-2</c:v>
                </c:pt>
                <c:pt idx="2">
                  <c:v>0.10753380553766911</c:v>
                </c:pt>
                <c:pt idx="3">
                  <c:v>8.2387500567293381E-2</c:v>
                </c:pt>
                <c:pt idx="4">
                  <c:v>-1.7823322510822526E-2</c:v>
                </c:pt>
                <c:pt idx="5">
                  <c:v>6.3088811262834721E-2</c:v>
                </c:pt>
                <c:pt idx="6">
                  <c:v>-7.7824101647806287E-2</c:v>
                </c:pt>
                <c:pt idx="7">
                  <c:v>0.27076095483581764</c:v>
                </c:pt>
                <c:pt idx="8">
                  <c:v>0.16883575464083944</c:v>
                </c:pt>
                <c:pt idx="9">
                  <c:v>0.11405011100539175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CF-4A11-9D78-A790567B4B04}"/>
            </c:ext>
          </c:extLst>
        </c:ser>
        <c:ser>
          <c:idx val="6"/>
          <c:order val="4"/>
          <c:tx>
            <c:strRef>
              <c:f>'distribución peninsula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munici'!$T$7:$T$16</c:f>
              <c:numCache>
                <c:formatCode>0.0%</c:formatCode>
                <c:ptCount val="10"/>
                <c:pt idx="0">
                  <c:v>0.12383013321214531</c:v>
                </c:pt>
                <c:pt idx="1">
                  <c:v>0.10256128042718778</c:v>
                </c:pt>
                <c:pt idx="2">
                  <c:v>6.106740136904593E-3</c:v>
                </c:pt>
                <c:pt idx="3">
                  <c:v>0.46572414576646687</c:v>
                </c:pt>
                <c:pt idx="4">
                  <c:v>5.1554023347629735E-2</c:v>
                </c:pt>
                <c:pt idx="5">
                  <c:v>0.12479940068736331</c:v>
                </c:pt>
                <c:pt idx="6">
                  <c:v>3.2983497599909109E-2</c:v>
                </c:pt>
                <c:pt idx="7">
                  <c:v>2.0129164654756157E-2</c:v>
                </c:pt>
                <c:pt idx="8">
                  <c:v>4.1133510381458231E-2</c:v>
                </c:pt>
                <c:pt idx="9">
                  <c:v>3.1178103786178885E-2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CF-4A11-9D78-A790567B4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munici'!$O$5</c:f>
          <c:strCache>
            <c:ptCount val="1"/>
            <c:pt idx="0">
              <c:v>acumulado octubre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canarias x munici'!$O$5</c:f>
              <c:strCache>
                <c:ptCount val="1"/>
                <c:pt idx="0">
                  <c:v>acumulado octubre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F7-4AA1-A6B6-7CEA7FA823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F7-4AA1-A6B6-7CEA7FA823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F7-4AA1-A6B6-7CEA7FA823A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8F7-4AA1-A6B6-7CEA7FA823A4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8F7-4AA1-A6B6-7CEA7FA823A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8F7-4AA1-A6B6-7CEA7FA823A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8F7-4AA1-A6B6-7CEA7FA823A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8F7-4AA1-A6B6-7CEA7FA823A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8F7-4AA1-A6B6-7CEA7FA823A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8F7-4AA1-A6B6-7CEA7FA823A4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F7-4AA1-A6B6-7CEA7FA823A4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F7-4AA1-A6B6-7CEA7FA823A4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F7-4AA1-A6B6-7CEA7FA823A4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F7-4AA1-A6B6-7CEA7FA823A4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F7-4AA1-A6B6-7CEA7FA823A4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F7-4AA1-A6B6-7CEA7FA823A4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8F7-4AA1-A6B6-7CEA7FA823A4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8F7-4AA1-A6B6-7CEA7FA823A4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8F7-4AA1-A6B6-7CEA7FA823A4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88F7-4AA1-A6B6-7CEA7FA823A4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61293</c:v>
                </c:pt>
                <c:pt idx="1">
                  <c:v>46055</c:v>
                </c:pt>
                <c:pt idx="2">
                  <c:v>4769</c:v>
                </c:pt>
                <c:pt idx="3">
                  <c:v>91116</c:v>
                </c:pt>
                <c:pt idx="4">
                  <c:v>17968</c:v>
                </c:pt>
                <c:pt idx="5">
                  <c:v>78684</c:v>
                </c:pt>
                <c:pt idx="6">
                  <c:v>10910</c:v>
                </c:pt>
                <c:pt idx="7">
                  <c:v>18125</c:v>
                </c:pt>
                <c:pt idx="8">
                  <c:v>13812</c:v>
                </c:pt>
                <c:pt idx="9">
                  <c:v>29513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8F7-4AA1-A6B6-7CEA7FA82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C4-41A0-8B7D-4075C4EB1DFF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C4-41A0-8B7D-4075C4EB1DFF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C4-41A0-8B7D-4075C4EB1DFF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C4-41A0-8B7D-4075C4EB1DFF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C4-41A0-8B7D-4075C4EB1DFF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C4-41A0-8B7D-4075C4EB1DFF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C4-41A0-8B7D-4075C4EB1DFF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C4-41A0-8B7D-4075C4EB1DFF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CC4-41A0-8B7D-4075C4EB1DFF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CC4-41A0-8B7D-4075C4EB1D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BCC4-41A0-8B7D-4075C4EB1DFF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C4-41A0-8B7D-4075C4EB1DFF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CC4-41A0-8B7D-4075C4EB1DFF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CC4-41A0-8B7D-4075C4EB1DFF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CC4-41A0-8B7D-4075C4EB1D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BCC4-41A0-8B7D-4075C4EB1DFF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BCC4-41A0-8B7D-4075C4EB1DFF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CC4-41A0-8B7D-4075C4EB1DFF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CC4-41A0-8B7D-4075C4EB1DFF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CC4-41A0-8B7D-4075C4EB1DFF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CC4-41A0-8B7D-4075C4EB1DFF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CC4-41A0-8B7D-4075C4EB1DFF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CC4-41A0-8B7D-4075C4EB1DFF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CC4-41A0-8B7D-4075C4EB1DFF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CC4-41A0-8B7D-4075C4EB1DFF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CC4-41A0-8B7D-4075C4EB1DFF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CC4-41A0-8B7D-4075C4EB1DFF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CC4-41A0-8B7D-4075C4EB1DFF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CC4-41A0-8B7D-4075C4EB1DFF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CC4-41A0-8B7D-4075C4EB1DFF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CC4-41A0-8B7D-4075C4EB1DFF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CC4-41A0-8B7D-4075C4EB1DFF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CC4-41A0-8B7D-4075C4EB1DFF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BCC4-41A0-8B7D-4075C4EB1DFF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BCC4-41A0-8B7D-4075C4EB1DFF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BCC4-41A0-8B7D-4075C4EB1DFF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BCC4-41A0-8B7D-4075C4EB1DFF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BCC4-41A0-8B7D-4075C4EB1DFF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BCC4-41A0-8B7D-4075C4EB1DFF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BCC4-41A0-8B7D-4075C4EB1DFF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BCC4-41A0-8B7D-4075C4EB1DFF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BCC4-41A0-8B7D-4075C4EB1DFF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BCC4-41A0-8B7D-4075C4EB1DFF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BCC4-41A0-8B7D-4075C4EB1DFF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BCC4-41A0-8B7D-4075C4EB1DFF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BCC4-41A0-8B7D-4075C4EB1DFF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BCC4-41A0-8B7D-4075C4EB1DFF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BCC4-41A0-8B7D-4075C4EB1DFF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BCC4-41A0-8B7D-4075C4EB1DFF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BCC4-41A0-8B7D-4075C4EB1DF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CC4-41A0-8B7D-4075C4EB1DFF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CC4-41A0-8B7D-4075C4EB1DFF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CC4-41A0-8B7D-4075C4EB1DFF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CC4-41A0-8B7D-4075C4EB1DFF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CC4-41A0-8B7D-4075C4EB1DFF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CC4-41A0-8B7D-4075C4EB1DFF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CC4-41A0-8B7D-4075C4EB1DFF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CC4-41A0-8B7D-4075C4EB1DFF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CC4-41A0-8B7D-4075C4EB1DFF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CC4-41A0-8B7D-4075C4EB1DFF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CC4-41A0-8B7D-4075C4EB1DFF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CC4-41A0-8B7D-4075C4EB1DFF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CC4-41A0-8B7D-4075C4EB1DFF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CC4-41A0-8B7D-4075C4EB1DFF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BCC4-41A0-8B7D-4075C4EB1DFF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BCC4-41A0-8B7D-4075C4EB1DFF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BCC4-41A0-8B7D-4075C4EB1DFF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BCC4-41A0-8B7D-4075C4EB1DFF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BCC4-41A0-8B7D-4075C4EB1DFF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BCC4-41A0-8B7D-4075C4EB1DFF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BCC4-41A0-8B7D-4075C4EB1DFF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BCC4-41A0-8B7D-4075C4EB1DFF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BCC4-41A0-8B7D-4075C4EB1DFF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BCC4-41A0-8B7D-4075C4EB1DFF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BCC4-41A0-8B7D-4075C4EB1DFF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BCC4-41A0-8B7D-4075C4EB1DFF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BCC4-41A0-8B7D-4075C4EB1DFF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BCC4-41A0-8B7D-4075C4EB1DFF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BCC4-41A0-8B7D-4075C4EB1DFF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BCC4-41A0-8B7D-4075C4EB1DFF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BCC4-41A0-8B7D-4075C4EB1DFF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BCC4-41A0-8B7D-4075C4EB1DFF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BCC4-41A0-8B7D-4075C4EB1DFF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BCC4-41A0-8B7D-4075C4EB1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munici'!$B$3</c:f>
          <c:strCache>
            <c:ptCount val="1"/>
            <c:pt idx="0">
              <c:v>Viajeros canarios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canarias x munici'!$G$5</c:f>
              <c:strCache>
                <c:ptCount val="1"/>
                <c:pt idx="0">
                  <c:v>acumulado octubre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munici'!$G$7:$G$16</c:f>
              <c:numCache>
                <c:formatCode>#,##0</c:formatCode>
                <c:ptCount val="10"/>
                <c:pt idx="0">
                  <c:v>68547</c:v>
                </c:pt>
                <c:pt idx="1">
                  <c:v>46357</c:v>
                </c:pt>
                <c:pt idx="2">
                  <c:v>12921</c:v>
                </c:pt>
                <c:pt idx="3">
                  <c:v>82735</c:v>
                </c:pt>
                <c:pt idx="4">
                  <c:v>18268</c:v>
                </c:pt>
                <c:pt idx="5">
                  <c:v>55716</c:v>
                </c:pt>
                <c:pt idx="6">
                  <c:v>10196</c:v>
                </c:pt>
                <c:pt idx="7">
                  <c:v>19153</c:v>
                </c:pt>
                <c:pt idx="8">
                  <c:v>28586</c:v>
                </c:pt>
                <c:pt idx="9">
                  <c:v>38509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7-462F-888B-EE85C0B83309}"/>
            </c:ext>
          </c:extLst>
        </c:ser>
        <c:ser>
          <c:idx val="1"/>
          <c:order val="1"/>
          <c:tx>
            <c:strRef>
              <c:f>'distribución canarias x munici'!$K$5</c:f>
              <c:strCache>
                <c:ptCount val="1"/>
                <c:pt idx="0">
                  <c:v>acumulado octubre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munici'!$K$7:$K$16</c:f>
              <c:numCache>
                <c:formatCode>#,##0</c:formatCode>
                <c:ptCount val="10"/>
                <c:pt idx="0">
                  <c:v>54723</c:v>
                </c:pt>
                <c:pt idx="1">
                  <c:v>45451</c:v>
                </c:pt>
                <c:pt idx="2">
                  <c:v>6705</c:v>
                </c:pt>
                <c:pt idx="3">
                  <c:v>94416</c:v>
                </c:pt>
                <c:pt idx="4">
                  <c:v>14687</c:v>
                </c:pt>
                <c:pt idx="5">
                  <c:v>62457</c:v>
                </c:pt>
                <c:pt idx="6">
                  <c:v>9167</c:v>
                </c:pt>
                <c:pt idx="7">
                  <c:v>17562</c:v>
                </c:pt>
                <c:pt idx="8">
                  <c:v>33767</c:v>
                </c:pt>
                <c:pt idx="9">
                  <c:v>32273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F7-462F-888B-EE85C0B83309}"/>
            </c:ext>
          </c:extLst>
        </c:ser>
        <c:ser>
          <c:idx val="2"/>
          <c:order val="2"/>
          <c:tx>
            <c:strRef>
              <c:f>'distribución canarias x munici'!$O$5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61293</c:v>
                </c:pt>
                <c:pt idx="1">
                  <c:v>46055</c:v>
                </c:pt>
                <c:pt idx="2">
                  <c:v>4769</c:v>
                </c:pt>
                <c:pt idx="3">
                  <c:v>91116</c:v>
                </c:pt>
                <c:pt idx="4">
                  <c:v>17968</c:v>
                </c:pt>
                <c:pt idx="5">
                  <c:v>78684</c:v>
                </c:pt>
                <c:pt idx="6">
                  <c:v>10910</c:v>
                </c:pt>
                <c:pt idx="7">
                  <c:v>18125</c:v>
                </c:pt>
                <c:pt idx="8">
                  <c:v>13812</c:v>
                </c:pt>
                <c:pt idx="9">
                  <c:v>29513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F7-462F-888B-EE85C0B83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canarias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munici'!$P$7:$P$16</c:f>
              <c:numCache>
                <c:formatCode>0.0%</c:formatCode>
                <c:ptCount val="10"/>
                <c:pt idx="0">
                  <c:v>0.12005920728030262</c:v>
                </c:pt>
                <c:pt idx="1">
                  <c:v>1.3289036544850585E-2</c:v>
                </c:pt>
                <c:pt idx="2">
                  <c:v>-0.28873974645786726</c:v>
                </c:pt>
                <c:pt idx="3">
                  <c:v>-3.495170310116924E-2</c:v>
                </c:pt>
                <c:pt idx="4">
                  <c:v>0.22339483897324164</c:v>
                </c:pt>
                <c:pt idx="5">
                  <c:v>0.2598107497958595</c:v>
                </c:pt>
                <c:pt idx="6">
                  <c:v>0.19013854041671219</c:v>
                </c:pt>
                <c:pt idx="7">
                  <c:v>3.2057852180845003E-2</c:v>
                </c:pt>
                <c:pt idx="8">
                  <c:v>-0.5909615897177718</c:v>
                </c:pt>
                <c:pt idx="9">
                  <c:v>-8.5520404052923493E-2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F7-462F-888B-EE85C0B83309}"/>
            </c:ext>
          </c:extLst>
        </c:ser>
        <c:ser>
          <c:idx val="6"/>
          <c:order val="4"/>
          <c:tx>
            <c:strRef>
              <c:f>'distribución canarias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munici'!$T$7:$T$16</c:f>
              <c:numCache>
                <c:formatCode>0.0%</c:formatCode>
                <c:ptCount val="10"/>
                <c:pt idx="0">
                  <c:v>0.16465768512673104</c:v>
                </c:pt>
                <c:pt idx="1">
                  <c:v>0.12372227968139263</c:v>
                </c:pt>
                <c:pt idx="2">
                  <c:v>1.2811454821421375E-2</c:v>
                </c:pt>
                <c:pt idx="3">
                  <c:v>0.24477427500705182</c:v>
                </c:pt>
                <c:pt idx="4">
                  <c:v>4.8269285013902131E-2</c:v>
                </c:pt>
                <c:pt idx="5">
                  <c:v>0.21137691574097706</c:v>
                </c:pt>
                <c:pt idx="6">
                  <c:v>2.9308654246531181E-2</c:v>
                </c:pt>
                <c:pt idx="7">
                  <c:v>4.8691050249163856E-2</c:v>
                </c:pt>
                <c:pt idx="8">
                  <c:v>3.7104595091942132E-2</c:v>
                </c:pt>
                <c:pt idx="9">
                  <c:v>7.9283805020886777E-2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F7-462F-888B-EE85C0B83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españo'!$C$8:$C$22</c:f>
              <c:numCache>
                <c:formatCode>#,##0</c:formatCode>
                <c:ptCount val="15"/>
                <c:pt idx="0">
                  <c:v>35821</c:v>
                </c:pt>
                <c:pt idx="1">
                  <c:v>37722</c:v>
                </c:pt>
                <c:pt idx="2">
                  <c:v>33809</c:v>
                </c:pt>
                <c:pt idx="3">
                  <c:v>21732</c:v>
                </c:pt>
                <c:pt idx="4">
                  <c:v>16023</c:v>
                </c:pt>
                <c:pt idx="5">
                  <c:v>37119</c:v>
                </c:pt>
                <c:pt idx="6">
                  <c:v>34282</c:v>
                </c:pt>
                <c:pt idx="7">
                  <c:v>37306</c:v>
                </c:pt>
                <c:pt idx="8">
                  <c:v>35444</c:v>
                </c:pt>
                <c:pt idx="9">
                  <c:v>25158</c:v>
                </c:pt>
                <c:pt idx="10">
                  <c:v>19203</c:v>
                </c:pt>
                <c:pt idx="11">
                  <c:v>16738</c:v>
                </c:pt>
                <c:pt idx="12">
                  <c:v>20352</c:v>
                </c:pt>
                <c:pt idx="13">
                  <c:v>19840</c:v>
                </c:pt>
                <c:pt idx="14">
                  <c:v>26747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A-47AA-91A5-B70A7EEF4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españo'!$D$7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españo'!$D$8:$D$22</c:f>
              <c:numCache>
                <c:formatCode>0.0%</c:formatCode>
                <c:ptCount val="15"/>
                <c:pt idx="0">
                  <c:v>-5.0394994963151474E-2</c:v>
                </c:pt>
                <c:pt idx="1">
                  <c:v>0.11573841284864983</c:v>
                </c:pt>
                <c:pt idx="2">
                  <c:v>0.55572427756304066</c:v>
                </c:pt>
                <c:pt idx="3">
                  <c:v>0.35630031829245468</c:v>
                </c:pt>
                <c:pt idx="4">
                  <c:v>-0.5683342762466661</c:v>
                </c:pt>
                <c:pt idx="5">
                  <c:v>8.2754798436497357E-2</c:v>
                </c:pt>
                <c:pt idx="6">
                  <c:v>-8.1059347021926742E-2</c:v>
                </c:pt>
                <c:pt idx="7">
                  <c:v>5.2533574088703405E-2</c:v>
                </c:pt>
                <c:pt idx="8">
                  <c:v>0.40885602989108838</c:v>
                </c:pt>
                <c:pt idx="9">
                  <c:v>0.3101077956569287</c:v>
                </c:pt>
                <c:pt idx="10">
                  <c:v>0.14726968574501131</c:v>
                </c:pt>
                <c:pt idx="11">
                  <c:v>-0.17757468553459121</c:v>
                </c:pt>
                <c:pt idx="12">
                  <c:v>2.5806451612903292E-2</c:v>
                </c:pt>
                <c:pt idx="13">
                  <c:v>-0.258234568362807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A-47AA-91A5-B70A7EEF4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penins'!$C$8:$C$22</c:f>
              <c:numCache>
                <c:formatCode>#,##0</c:formatCode>
                <c:ptCount val="15"/>
                <c:pt idx="0">
                  <c:v>23944</c:v>
                </c:pt>
                <c:pt idx="1">
                  <c:v>25698</c:v>
                </c:pt>
                <c:pt idx="2">
                  <c:v>17520</c:v>
                </c:pt>
                <c:pt idx="3">
                  <c:v>10731</c:v>
                </c:pt>
                <c:pt idx="4">
                  <c:v>7339</c:v>
                </c:pt>
                <c:pt idx="5">
                  <c:v>17966</c:v>
                </c:pt>
                <c:pt idx="6">
                  <c:v>17518</c:v>
                </c:pt>
                <c:pt idx="7">
                  <c:v>22136</c:v>
                </c:pt>
                <c:pt idx="8">
                  <c:v>21880</c:v>
                </c:pt>
                <c:pt idx="9">
                  <c:v>7541</c:v>
                </c:pt>
                <c:pt idx="10">
                  <c:v>8622</c:v>
                </c:pt>
                <c:pt idx="11">
                  <c:v>6073</c:v>
                </c:pt>
                <c:pt idx="12">
                  <c:v>12392</c:v>
                </c:pt>
                <c:pt idx="13">
                  <c:v>3203</c:v>
                </c:pt>
                <c:pt idx="14">
                  <c:v>4285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8-4238-B7C6-4D1619E45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penins'!$D$7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penins'!$D$8:$D$22</c:f>
              <c:numCache>
                <c:formatCode>0.0%</c:formatCode>
                <c:ptCount val="15"/>
                <c:pt idx="0">
                  <c:v>-6.8254338859055186E-2</c:v>
                </c:pt>
                <c:pt idx="1">
                  <c:v>0.46678082191780823</c:v>
                </c:pt>
                <c:pt idx="2">
                  <c:v>0.63265306122448983</c:v>
                </c:pt>
                <c:pt idx="3">
                  <c:v>0.46218830903392827</c:v>
                </c:pt>
                <c:pt idx="4">
                  <c:v>-0.59150617833685848</c:v>
                </c:pt>
                <c:pt idx="5">
                  <c:v>2.5573695627354676E-2</c:v>
                </c:pt>
                <c:pt idx="6">
                  <c:v>-0.20861944344054928</c:v>
                </c:pt>
                <c:pt idx="7">
                  <c:v>1.1700182815356452E-2</c:v>
                </c:pt>
                <c:pt idx="8">
                  <c:v>1.9014719533218405</c:v>
                </c:pt>
                <c:pt idx="9">
                  <c:v>-0.12537694270470889</c:v>
                </c:pt>
                <c:pt idx="10">
                  <c:v>0.41972665898238093</c:v>
                </c:pt>
                <c:pt idx="11">
                  <c:v>-0.50992575855390576</c:v>
                </c:pt>
                <c:pt idx="12">
                  <c:v>2.8688729316266</c:v>
                </c:pt>
                <c:pt idx="13">
                  <c:v>-0.25250875145857643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8-4238-B7C6-4D1619E45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canari'!$C$8:$C$22</c:f>
              <c:numCache>
                <c:formatCode>#,##0</c:formatCode>
                <c:ptCount val="15"/>
                <c:pt idx="0">
                  <c:v>11877</c:v>
                </c:pt>
                <c:pt idx="1">
                  <c:v>12024</c:v>
                </c:pt>
                <c:pt idx="2">
                  <c:v>16289</c:v>
                </c:pt>
                <c:pt idx="3">
                  <c:v>11001</c:v>
                </c:pt>
                <c:pt idx="4">
                  <c:v>8684</c:v>
                </c:pt>
                <c:pt idx="5">
                  <c:v>19153</c:v>
                </c:pt>
                <c:pt idx="6">
                  <c:v>16764</c:v>
                </c:pt>
                <c:pt idx="7">
                  <c:v>15170</c:v>
                </c:pt>
                <c:pt idx="8">
                  <c:v>13564</c:v>
                </c:pt>
                <c:pt idx="9">
                  <c:v>17617</c:v>
                </c:pt>
                <c:pt idx="10">
                  <c:v>10581</c:v>
                </c:pt>
                <c:pt idx="11">
                  <c:v>10665</c:v>
                </c:pt>
                <c:pt idx="12">
                  <c:v>7960</c:v>
                </c:pt>
                <c:pt idx="13">
                  <c:v>16637</c:v>
                </c:pt>
                <c:pt idx="14">
                  <c:v>22462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1F-4688-8A8D-3F6829394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canari'!$D$7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canari'!$D$8:$D$22</c:f>
              <c:numCache>
                <c:formatCode>0.0%</c:formatCode>
                <c:ptCount val="15"/>
                <c:pt idx="0">
                  <c:v>-1.2225548902195627E-2</c:v>
                </c:pt>
                <c:pt idx="1">
                  <c:v>-0.261833138928111</c:v>
                </c:pt>
                <c:pt idx="2">
                  <c:v>0.48068357422052532</c:v>
                </c:pt>
                <c:pt idx="3">
                  <c:v>0.26681252878857675</c:v>
                </c:pt>
                <c:pt idx="4">
                  <c:v>-0.54659844410797265</c:v>
                </c:pt>
                <c:pt idx="5">
                  <c:v>0.14250775471247912</c:v>
                </c:pt>
                <c:pt idx="6">
                  <c:v>0.10507580751483192</c:v>
                </c:pt>
                <c:pt idx="7">
                  <c:v>0.1184016514302566</c:v>
                </c:pt>
                <c:pt idx="8">
                  <c:v>-0.23006187205540107</c:v>
                </c:pt>
                <c:pt idx="9">
                  <c:v>0.6649655042056517</c:v>
                </c:pt>
                <c:pt idx="10">
                  <c:v>-7.8762306610408173E-3</c:v>
                </c:pt>
                <c:pt idx="11">
                  <c:v>0.33982412060301503</c:v>
                </c:pt>
                <c:pt idx="12">
                  <c:v>-0.52154835607381145</c:v>
                </c:pt>
                <c:pt idx="13">
                  <c:v>-0.25932686314664766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1F-4688-8A8D-3F6829394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B9-4CCA-B1CE-E11E4C69812C}"/>
              </c:ext>
            </c:extLst>
          </c:dPt>
          <c:val>
            <c:numRef>
              <c:f>'Viajeros entr evol mensu TF'!$I$185:$I$197</c:f>
              <c:numCache>
                <c:formatCode>#,##0</c:formatCode>
                <c:ptCount val="13"/>
                <c:pt idx="0">
                  <c:v>81</c:v>
                </c:pt>
                <c:pt idx="1">
                  <c:v>33</c:v>
                </c:pt>
                <c:pt idx="2">
                  <c:v>71</c:v>
                </c:pt>
                <c:pt idx="3">
                  <c:v>44</c:v>
                </c:pt>
                <c:pt idx="4">
                  <c:v>32</c:v>
                </c:pt>
                <c:pt idx="5">
                  <c:v>32</c:v>
                </c:pt>
                <c:pt idx="6">
                  <c:v>43</c:v>
                </c:pt>
                <c:pt idx="7">
                  <c:v>49</c:v>
                </c:pt>
                <c:pt idx="8">
                  <c:v>41</c:v>
                </c:pt>
                <c:pt idx="9">
                  <c:v>40</c:v>
                </c:pt>
                <c:pt idx="10">
                  <c:v>105</c:v>
                </c:pt>
                <c:pt idx="11">
                  <c:v>79</c:v>
                </c:pt>
                <c:pt idx="12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B9-4CCA-B1CE-E11E4C69812C}"/>
            </c:ext>
          </c:extLst>
        </c:ser>
        <c:ser>
          <c:idx val="0"/>
          <c:order val="2"/>
          <c:tx>
            <c:strRef>
              <c:f>'Viajeros entr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4B9-4CCA-B1CE-E11E4C69812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TF'!$K$185:$K$197</c:f>
              <c:numCache>
                <c:formatCode>#,##0</c:formatCode>
                <c:ptCount val="13"/>
                <c:pt idx="0">
                  <c:v>171</c:v>
                </c:pt>
                <c:pt idx="1">
                  <c:v>95</c:v>
                </c:pt>
                <c:pt idx="2">
                  <c:v>93</c:v>
                </c:pt>
                <c:pt idx="3">
                  <c:v>87</c:v>
                </c:pt>
                <c:pt idx="4">
                  <c:v>49</c:v>
                </c:pt>
                <c:pt idx="5">
                  <c:v>19</c:v>
                </c:pt>
                <c:pt idx="6">
                  <c:v>25</c:v>
                </c:pt>
                <c:pt idx="7">
                  <c:v>59</c:v>
                </c:pt>
                <c:pt idx="8">
                  <c:v>41</c:v>
                </c:pt>
                <c:pt idx="9">
                  <c:v>57</c:v>
                </c:pt>
                <c:pt idx="10">
                  <c:v>64</c:v>
                </c:pt>
                <c:pt idx="11">
                  <c:v>143</c:v>
                </c:pt>
                <c:pt idx="12">
                  <c:v>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4B9-4CCA-B1CE-E11E4C69812C}"/>
            </c:ext>
          </c:extLst>
        </c:ser>
        <c:ser>
          <c:idx val="1"/>
          <c:order val="3"/>
          <c:tx>
            <c:strRef>
              <c:f>'Viajeros entr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4B9-4CCA-B1CE-E11E4C69812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4B9-4CCA-B1CE-E11E4C69812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TF'!$M$185:$M$197</c:f>
              <c:numCache>
                <c:formatCode>#,##0</c:formatCode>
                <c:ptCount val="13"/>
                <c:pt idx="0">
                  <c:v>130</c:v>
                </c:pt>
                <c:pt idx="1">
                  <c:v>92</c:v>
                </c:pt>
                <c:pt idx="2">
                  <c:v>112</c:v>
                </c:pt>
                <c:pt idx="3">
                  <c:v>94</c:v>
                </c:pt>
                <c:pt idx="4">
                  <c:v>38</c:v>
                </c:pt>
                <c:pt idx="5">
                  <c:v>18</c:v>
                </c:pt>
                <c:pt idx="6">
                  <c:v>39</c:v>
                </c:pt>
                <c:pt idx="7">
                  <c:v>37</c:v>
                </c:pt>
                <c:pt idx="8">
                  <c:v>44</c:v>
                </c:pt>
                <c:pt idx="9">
                  <c:v>66</c:v>
                </c:pt>
                <c:pt idx="12">
                  <c:v>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4B9-4CCA-B1CE-E11E4C698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4B9-4CCA-B1CE-E11E4C69812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71</c:v>
                      </c:pt>
                      <c:pt idx="1">
                        <c:v>29</c:v>
                      </c:pt>
                      <c:pt idx="2">
                        <c:v>32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45</c:v>
                      </c:pt>
                      <c:pt idx="8">
                        <c:v>40</c:v>
                      </c:pt>
                      <c:pt idx="9">
                        <c:v>39</c:v>
                      </c:pt>
                      <c:pt idx="10">
                        <c:v>51</c:v>
                      </c:pt>
                      <c:pt idx="11">
                        <c:v>20</c:v>
                      </c:pt>
                      <c:pt idx="12">
                        <c:v>351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4B9-4CCA-B1CE-E11E4C69812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4B9-4CCA-B1CE-E11E4C69812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4B9-4CCA-B1CE-E11E4C69812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4B9-4CCA-B1CE-E11E4C69812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4B9-4CCA-B1CE-E11E4C69812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4B9-4CCA-B1CE-E11E4C69812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4B9-4CCA-B1CE-E11E4C69812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4B9-4CCA-B1CE-E11E4C69812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4B9-4CCA-B1CE-E11E4C69812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4B9-4CCA-B1CE-E11E4C69812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4B9-4CCA-B1CE-E11E4C69812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4B9-4CCA-B1CE-E11E4C69812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4B9-4CCA-B1CE-E11E4C69812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4B9-4CCA-B1CE-E11E4C69812C}"/>
              </c:ext>
            </c:extLst>
          </c:dPt>
          <c:cat>
            <c:strRef>
              <c:f>'Viajeros entr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TF'!$N$185:$N$197</c:f>
              <c:numCache>
                <c:formatCode>0.0%</c:formatCode>
                <c:ptCount val="13"/>
                <c:pt idx="0">
                  <c:v>-0.23976608187134507</c:v>
                </c:pt>
                <c:pt idx="1">
                  <c:v>-3.157894736842104E-2</c:v>
                </c:pt>
                <c:pt idx="2">
                  <c:v>0.20430107526881724</c:v>
                </c:pt>
                <c:pt idx="3">
                  <c:v>8.0459770114942541E-2</c:v>
                </c:pt>
                <c:pt idx="4">
                  <c:v>-0.22448979591836737</c:v>
                </c:pt>
                <c:pt idx="5">
                  <c:v>-5.2631578947368474E-2</c:v>
                </c:pt>
                <c:pt idx="6">
                  <c:v>0.56000000000000005</c:v>
                </c:pt>
                <c:pt idx="7">
                  <c:v>-0.3728813559322034</c:v>
                </c:pt>
                <c:pt idx="8">
                  <c:v>7.3170731707317138E-2</c:v>
                </c:pt>
                <c:pt idx="9">
                  <c:v>0.15789473684210531</c:v>
                </c:pt>
                <c:pt idx="12">
                  <c:v>-3.7356321839080442E-2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4B9-4CCA-B1CE-E11E4C698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7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6" Type="http://schemas.openxmlformats.org/officeDocument/2006/relationships/image" Target="../media/image6.png"/><Relationship Id="rId5" Type="http://schemas.openxmlformats.org/officeDocument/2006/relationships/chart" Target="../charts/chart71.xml"/><Relationship Id="rId4" Type="http://schemas.openxmlformats.org/officeDocument/2006/relationships/image" Target="../media/image5.jpeg"/></Relationships>
</file>

<file path=xl/drawings/_rels/drawing1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2.xml"/><Relationship Id="rId5" Type="http://schemas.openxmlformats.org/officeDocument/2006/relationships/chart" Target="../charts/chart73.xml"/><Relationship Id="rId4" Type="http://schemas.openxmlformats.org/officeDocument/2006/relationships/image" Target="../media/image6.png"/></Relationships>
</file>

<file path=xl/drawings/_rels/drawing1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4.xml"/><Relationship Id="rId5" Type="http://schemas.openxmlformats.org/officeDocument/2006/relationships/chart" Target="../charts/chart75.xml"/><Relationship Id="rId4" Type="http://schemas.openxmlformats.org/officeDocument/2006/relationships/image" Target="../media/image6.png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6.xml"/><Relationship Id="rId5" Type="http://schemas.openxmlformats.org/officeDocument/2006/relationships/chart" Target="../charts/chart77.xml"/><Relationship Id="rId4" Type="http://schemas.openxmlformats.org/officeDocument/2006/relationships/image" Target="../media/image6.png"/></Relationships>
</file>

<file path=xl/drawings/_rels/drawing1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8.xml"/><Relationship Id="rId6" Type="http://schemas.openxmlformats.org/officeDocument/2006/relationships/chart" Target="../charts/chart80.xml"/><Relationship Id="rId5" Type="http://schemas.openxmlformats.org/officeDocument/2006/relationships/image" Target="../media/image6.png"/><Relationship Id="rId4" Type="http://schemas.openxmlformats.org/officeDocument/2006/relationships/chart" Target="../charts/chart79.xml"/></Relationships>
</file>

<file path=xl/drawings/_rels/drawing1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1.xml"/><Relationship Id="rId6" Type="http://schemas.openxmlformats.org/officeDocument/2006/relationships/chart" Target="../charts/chart83.xml"/><Relationship Id="rId5" Type="http://schemas.openxmlformats.org/officeDocument/2006/relationships/image" Target="../media/image6.png"/><Relationship Id="rId4" Type="http://schemas.openxmlformats.org/officeDocument/2006/relationships/chart" Target="../charts/chart82.xml"/></Relationships>
</file>

<file path=xl/drawings/_rels/drawing1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4.xml"/><Relationship Id="rId6" Type="http://schemas.openxmlformats.org/officeDocument/2006/relationships/chart" Target="../charts/chart86.xml"/><Relationship Id="rId5" Type="http://schemas.openxmlformats.org/officeDocument/2006/relationships/image" Target="../media/image6.png"/><Relationship Id="rId4" Type="http://schemas.openxmlformats.org/officeDocument/2006/relationships/chart" Target="../charts/chart85.xml"/></Relationships>
</file>

<file path=xl/drawings/_rels/drawing1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7.xml"/><Relationship Id="rId4" Type="http://schemas.openxmlformats.org/officeDocument/2006/relationships/image" Target="../media/image2.png"/></Relationships>
</file>

<file path=xl/drawings/_rels/drawing1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8.xml"/><Relationship Id="rId4" Type="http://schemas.openxmlformats.org/officeDocument/2006/relationships/image" Target="../media/image2.png"/></Relationships>
</file>

<file path=xl/drawings/_rels/drawing1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9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image" Target="../media/image3.png"/><Relationship Id="rId7" Type="http://schemas.openxmlformats.org/officeDocument/2006/relationships/chart" Target="../charts/chart1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19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5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6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7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image" Target="../media/image3.png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29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chart" Target="../charts/chart30.xml"/><Relationship Id="rId15" Type="http://schemas.openxmlformats.org/officeDocument/2006/relationships/chart" Target="../charts/chart40.xml"/><Relationship Id="rId10" Type="http://schemas.openxmlformats.org/officeDocument/2006/relationships/chart" Target="../charts/chart35.xml"/><Relationship Id="rId4" Type="http://schemas.openxmlformats.org/officeDocument/2006/relationships/image" Target="../media/image2.png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6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image" Target="../media/image3.png"/><Relationship Id="rId7" Type="http://schemas.openxmlformats.org/officeDocument/2006/relationships/chart" Target="../charts/chart44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41.xml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chart" Target="../charts/chart55.xml"/><Relationship Id="rId3" Type="http://schemas.openxmlformats.org/officeDocument/2006/relationships/image" Target="../media/image3.png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58.xml"/><Relationship Id="rId1" Type="http://schemas.openxmlformats.org/officeDocument/2006/relationships/chart" Target="../charts/chart46.xml"/><Relationship Id="rId6" Type="http://schemas.openxmlformats.org/officeDocument/2006/relationships/chart" Target="../charts/chart48.xml"/><Relationship Id="rId11" Type="http://schemas.openxmlformats.org/officeDocument/2006/relationships/chart" Target="../charts/chart53.xml"/><Relationship Id="rId5" Type="http://schemas.openxmlformats.org/officeDocument/2006/relationships/chart" Target="../charts/chart47.xml"/><Relationship Id="rId15" Type="http://schemas.openxmlformats.org/officeDocument/2006/relationships/chart" Target="../charts/chart57.xml"/><Relationship Id="rId10" Type="http://schemas.openxmlformats.org/officeDocument/2006/relationships/chart" Target="../charts/chart52.xml"/><Relationship Id="rId4" Type="http://schemas.openxmlformats.org/officeDocument/2006/relationships/image" Target="../media/image2.png"/><Relationship Id="rId9" Type="http://schemas.openxmlformats.org/officeDocument/2006/relationships/chart" Target="../charts/chart51.xml"/><Relationship Id="rId14" Type="http://schemas.openxmlformats.org/officeDocument/2006/relationships/chart" Target="../charts/chart5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8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image" Target="../media/image3.png"/><Relationship Id="rId7" Type="http://schemas.openxmlformats.org/officeDocument/2006/relationships/chart" Target="../charts/chart62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59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image" Target="../media/image2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3" Type="http://schemas.openxmlformats.org/officeDocument/2006/relationships/chart" Target="../charts/chart66.xml"/><Relationship Id="rId7" Type="http://schemas.openxmlformats.org/officeDocument/2006/relationships/chart" Target="../charts/chart67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hyperlink" Target="#'Men&#250; principal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5934075</xdr:colOff>
      <xdr:row>1</xdr:row>
      <xdr:rowOff>171450</xdr:rowOff>
    </xdr:from>
    <xdr:to>
      <xdr:col>1</xdr:col>
      <xdr:colOff>9159636</xdr:colOff>
      <xdr:row>3</xdr:row>
      <xdr:rowOff>131340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396FD4-102A-4275-85C6-DDD373220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61950"/>
          <a:ext cx="3225561" cy="87429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277B92F-191F-48A0-813B-24B2E6B2EF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San Cristóbal de La Laguna</a:t>
          </a:fld>
          <a:endParaRPr lang="es-ES" sz="1100"/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50D8823-FBC2-4B03-A811-E1EE0E7E4A1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4, 5 Estrellas de San Cristóbal de La Laguna</a:t>
          </a:fld>
          <a:endParaRPr lang="es-ES" sz="1100"/>
        </a:p>
      </cdr:txBody>
    </cdr:sp>
  </cdr:relSizeAnchor>
</c:userShapes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1F4D6E2-85BA-4B24-AF86-930E6E96BA85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DA4588E5-D754-ECF6-7F0C-F162F89545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28F694A9-5782-0BF2-2A29-B1BB07FB35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Indicadores de rentabilidad alojativa</a:t>
            </a:r>
          </a:p>
        </xdr:txBody>
      </xdr:sp>
    </xdr:grpSp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66676</xdr:rowOff>
    </xdr:from>
    <xdr:to>
      <xdr:col>0</xdr:col>
      <xdr:colOff>838200</xdr:colOff>
      <xdr:row>4</xdr:row>
      <xdr:rowOff>257176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AEE0A-8369-4167-8083-2028D98FB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1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4D2E42-7A3B-4FFD-99CE-6ACAC12A4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A257B3-FAD4-46A5-B829-791BF4D12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589D94-719F-49D2-A06A-242A021DD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3D1984E-624E-4C03-8302-FF33234B5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F50930-76AB-4AA1-994D-B240CB423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D67905-6D76-4A77-88C3-DAE17556D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432AD7-4CA4-4F55-BB28-4094316A5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0910E9C-6A3A-4F3C-B9D9-8142540BFEBD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576D3DB8-7C23-5C00-79A4-0DDA61322E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AE83ACFD-1F17-8B6D-BD1B-640FEE01508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españoles</a:t>
            </a:r>
          </a:p>
        </xdr:txBody>
      </xdr:sp>
    </xdr:grpSp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1060453</xdr:colOff>
      <xdr:row>14</xdr:row>
      <xdr:rowOff>38100</xdr:rowOff>
    </xdr:from>
    <xdr:to>
      <xdr:col>6</xdr:col>
      <xdr:colOff>705803</xdr:colOff>
      <xdr:row>35</xdr:row>
      <xdr:rowOff>120967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1A56FA40-2C79-46B3-8CF0-5D22AD823A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448944</xdr:colOff>
      <xdr:row>13</xdr:row>
      <xdr:rowOff>73025</xdr:rowOff>
    </xdr:from>
    <xdr:to>
      <xdr:col>14</xdr:col>
      <xdr:colOff>369570</xdr:colOff>
      <xdr:row>30</xdr:row>
      <xdr:rowOff>135890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57CBBFBA-78C7-4975-948C-DAE10DD9E3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659130</xdr:colOff>
      <xdr:row>1</xdr:row>
      <xdr:rowOff>152400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14ACA595-883D-4C6B-BE23-686CEB537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38100"/>
          <a:ext cx="4972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14</xdr:row>
      <xdr:rowOff>95250</xdr:rowOff>
    </xdr:from>
    <xdr:ext cx="9191626" cy="4545000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7EF1E9A3-0596-4E74-BEE4-379A5A232D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597195</xdr:colOff>
      <xdr:row>1</xdr:row>
      <xdr:rowOff>102870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5A160EE6-68A8-4AE5-91E0-FBEB44573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8295" cy="483870"/>
        </a:xfrm>
        <a:prstGeom prst="rect">
          <a:avLst/>
        </a:prstGeom>
      </xdr:spPr>
    </xdr:pic>
    <xdr:clientData/>
  </xdr:twoCellAnchor>
</xdr:wsDr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</cdr:x>
      <cdr:y>0.93842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31758F8E-4084-474F-8EDA-80184F875402}"/>
            </a:ext>
          </a:extLst>
        </cdr:cNvPr>
        <cdr:cNvSpPr txBox="1"/>
      </cdr:nvSpPr>
      <cdr:spPr>
        <a:xfrm xmlns:a="http://schemas.openxmlformats.org/drawingml/2006/main">
          <a:off x="0" y="3048001"/>
          <a:ext cx="547211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Insular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 de Tenerife. ELABORACIÓN: Turismo de Tenerife </a:t>
          </a:r>
        </a:p>
      </cdr:txBody>
    </cdr:sp>
  </cdr:relSizeAnchor>
  <cdr:relSizeAnchor xmlns:cdr="http://schemas.openxmlformats.org/drawingml/2006/chartDrawing">
    <cdr:from>
      <cdr:x>0.39564</cdr:x>
      <cdr:y>0.35377</cdr:y>
    </cdr:from>
    <cdr:to>
      <cdr:x>0.91656</cdr:x>
      <cdr:y>0.48035</cdr:y>
    </cdr:to>
    <cdr:sp macro="" textlink="">
      <cdr:nvSpPr>
        <cdr:cNvPr id="6" name="Cerrar llave 5">
          <a:extLst xmlns:a="http://schemas.openxmlformats.org/drawingml/2006/main">
            <a:ext uri="{FF2B5EF4-FFF2-40B4-BE49-F238E27FC236}">
              <a16:creationId xmlns:a16="http://schemas.microsoft.com/office/drawing/2014/main" id="{469DACD7-1EE4-4E55-BAAA-E095C61962BC}"/>
            </a:ext>
          </a:extLst>
        </cdr:cNvPr>
        <cdr:cNvSpPr/>
      </cdr:nvSpPr>
      <cdr:spPr>
        <a:xfrm xmlns:a="http://schemas.openxmlformats.org/drawingml/2006/main" rot="16200000">
          <a:off x="4003280" y="-193004"/>
          <a:ext cx="450922" cy="3357458"/>
        </a:xfrm>
        <a:prstGeom xmlns:a="http://schemas.openxmlformats.org/drawingml/2006/main" prst="rightBrace">
          <a:avLst>
            <a:gd name="adj1" fmla="val 8333"/>
            <a:gd name="adj2" fmla="val 46363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0.43619</cdr:x>
      <cdr:y>0.15305</cdr:y>
    </cdr:from>
    <cdr:to>
      <cdr:x>0.82762</cdr:x>
      <cdr:y>0.25178</cdr:y>
    </cdr:to>
    <cdr:sp macro="" textlink="">
      <cdr:nvSpPr>
        <cdr:cNvPr id="7" name="CuadroTexto 3">
          <a:extLst xmlns:a="http://schemas.openxmlformats.org/drawingml/2006/main">
            <a:ext uri="{FF2B5EF4-FFF2-40B4-BE49-F238E27FC236}">
              <a16:creationId xmlns:a16="http://schemas.microsoft.com/office/drawing/2014/main" id="{277374B0-BFCC-495F-8F00-B86CEDAE30F1}"/>
            </a:ext>
          </a:extLst>
        </cdr:cNvPr>
        <cdr:cNvSpPr txBox="1"/>
      </cdr:nvSpPr>
      <cdr:spPr>
        <a:xfrm xmlns:a="http://schemas.openxmlformats.org/drawingml/2006/main">
          <a:off x="2811353" y="545212"/>
          <a:ext cx="2522863" cy="3517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Total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 turismo canario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0.57735</cdr:x>
      <cdr:y>0.27208</cdr:y>
    </cdr:from>
    <cdr:to>
      <cdr:x>0.68978</cdr:x>
      <cdr:y>0.33541</cdr:y>
    </cdr:to>
    <cdr:sp macro="" textlink="'distribución españoles x Resid'!$O$9">
      <cdr:nvSpPr>
        <cdr:cNvPr id="8" name="CuadroTexto 3">
          <a:extLst xmlns:a="http://schemas.openxmlformats.org/drawingml/2006/main">
            <a:ext uri="{FF2B5EF4-FFF2-40B4-BE49-F238E27FC236}">
              <a16:creationId xmlns:a16="http://schemas.microsoft.com/office/drawing/2014/main" id="{4C9EE597-C83C-44F2-B4A3-633066BB0BF2}"/>
            </a:ext>
          </a:extLst>
        </cdr:cNvPr>
        <cdr:cNvSpPr txBox="1"/>
      </cdr:nvSpPr>
      <cdr:spPr>
        <a:xfrm xmlns:a="http://schemas.openxmlformats.org/drawingml/2006/main">
          <a:off x="3817377" y="1110490"/>
          <a:ext cx="743379" cy="258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accent3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EB6A94-6C61-4F4A-B0DF-7DBBFCDFD143}" type="TxLink">
            <a:rPr lang="en-US" sz="1200" b="1" i="0" u="none" strike="noStrike">
              <a:solidFill>
                <a:schemeClr val="accent3"/>
              </a:solidFill>
              <a:latin typeface="Calibri"/>
              <a:ea typeface="Calibri"/>
              <a:cs typeface="Calibri"/>
            </a:rPr>
            <a:pPr algn="ctr"/>
            <a:t>19,0%</a:t>
          </a:fld>
          <a:endParaRPr lang="es-E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0.56188</cdr:x>
      <cdr:y>0.21162</cdr:y>
    </cdr:from>
    <cdr:to>
      <cdr:x>0.70176</cdr:x>
      <cdr:y>0.28983</cdr:y>
    </cdr:to>
    <cdr:sp macro="" textlink="'distribución españoles x Resid'!$N$9">
      <cdr:nvSpPr>
        <cdr:cNvPr id="9" name="CuadroTexto 3">
          <a:extLst xmlns:a="http://schemas.openxmlformats.org/drawingml/2006/main">
            <a:ext uri="{FF2B5EF4-FFF2-40B4-BE49-F238E27FC236}">
              <a16:creationId xmlns:a16="http://schemas.microsoft.com/office/drawing/2014/main" id="{B06674D6-B1FE-43AA-BD4E-1158A6AF831A}"/>
            </a:ext>
          </a:extLst>
        </cdr:cNvPr>
        <cdr:cNvSpPr txBox="1"/>
      </cdr:nvSpPr>
      <cdr:spPr>
        <a:xfrm xmlns:a="http://schemas.openxmlformats.org/drawingml/2006/main">
          <a:off x="3621442" y="753872"/>
          <a:ext cx="901561" cy="27861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FE3520-A142-44BE-949C-98BD71D40043}" type="TxLink">
            <a:rPr lang="en-US" sz="14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 algn="ctr"/>
            <a:t>10.910</a:t>
          </a:fld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0.70672</cdr:x>
      <cdr:y>0.26753</cdr:y>
    </cdr:from>
    <cdr:to>
      <cdr:x>0.82251</cdr:x>
      <cdr:y>0.33257</cdr:y>
    </cdr:to>
    <cdr:sp macro="" textlink="'distribución españoles x Resid'!$S$9">
      <cdr:nvSpPr>
        <cdr:cNvPr id="16" name="CuadroTexto 15">
          <a:extLst xmlns:a="http://schemas.openxmlformats.org/drawingml/2006/main">
            <a:ext uri="{FF2B5EF4-FFF2-40B4-BE49-F238E27FC236}">
              <a16:creationId xmlns:a16="http://schemas.microsoft.com/office/drawing/2014/main" id="{35529699-B5DE-4E82-9402-691AEDFDDCDC}"/>
            </a:ext>
          </a:extLst>
        </cdr:cNvPr>
        <cdr:cNvSpPr txBox="1"/>
      </cdr:nvSpPr>
      <cdr:spPr>
        <a:xfrm xmlns:a="http://schemas.openxmlformats.org/drawingml/2006/main">
          <a:off x="4672792" y="1091930"/>
          <a:ext cx="765596" cy="2654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3A6F43F-5657-4BB1-A66C-84C7CA060AD7}" type="TxLink">
            <a:rPr lang="en-US" sz="1100" b="1" i="0" u="none" strike="noStrike">
              <a:solidFill>
                <a:schemeClr val="bg1">
                  <a:lumMod val="65000"/>
                </a:schemeClr>
              </a:solidFill>
              <a:latin typeface="Calibri"/>
              <a:ea typeface="Calibri"/>
              <a:cs typeface="Calibri"/>
            </a:rPr>
            <a:pPr algn="ctr"/>
            <a:t>37,0%</a:t>
          </a:fld>
          <a:endParaRPr lang="es-ES" sz="1200">
            <a:solidFill>
              <a:schemeClr val="bg1">
                <a:lumMod val="6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0.17381</cdr:y>
    </cdr:to>
    <cdr:sp macro="" textlink="'distribución españoles x Resid'!$B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D3B39E-6851-4C36-B8B6-6CD68DC2EBAC}"/>
            </a:ext>
          </a:extLst>
        </cdr:cNvPr>
        <cdr:cNvSpPr txBox="1"/>
      </cdr:nvSpPr>
      <cdr:spPr>
        <a:xfrm xmlns:a="http://schemas.openxmlformats.org/drawingml/2006/main">
          <a:off x="0" y="0"/>
          <a:ext cx="6611935" cy="676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2B8F0-D7E4-4DC8-B136-07E75A981FB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San Cristóbal de La Laguna según lugar de residencia</a:t>
          </a:fld>
          <a:endParaRPr lang="es-ES" sz="180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0.0087</cdr:x>
      <cdr:y>0</cdr:y>
    </cdr:from>
    <cdr:to>
      <cdr:x>0.99216</cdr:x>
      <cdr:y>0.2219</cdr:y>
    </cdr:to>
    <cdr:sp macro="" textlink="'distribución españoles x Resid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57150" y="0"/>
          <a:ext cx="6460423" cy="732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San Cristóbal de La Laguna  por lugar de residencia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0.70361</cdr:x>
      <cdr:y>0.21422</cdr:y>
    </cdr:from>
    <cdr:to>
      <cdr:x>0.75287</cdr:x>
      <cdr:y>0.88569</cdr:y>
    </cdr:to>
    <cdr:sp macro="" textlink="">
      <cdr:nvSpPr>
        <cdr:cNvPr id="9" name="Cerrar llave 8">
          <a:extLst xmlns:a="http://schemas.openxmlformats.org/drawingml/2006/main">
            <a:ext uri="{FF2B5EF4-FFF2-40B4-BE49-F238E27FC236}">
              <a16:creationId xmlns:a16="http://schemas.microsoft.com/office/drawing/2014/main" id="{86FD90C6-C671-486D-8C54-9121492BC7EB}"/>
            </a:ext>
          </a:extLst>
        </cdr:cNvPr>
        <cdr:cNvSpPr/>
      </cdr:nvSpPr>
      <cdr:spPr>
        <a:xfrm xmlns:a="http://schemas.openxmlformats.org/drawingml/2006/main">
          <a:off x="5441950" y="708025"/>
          <a:ext cx="381000" cy="2219325"/>
        </a:xfrm>
        <a:prstGeom xmlns:a="http://schemas.openxmlformats.org/drawingml/2006/main" prst="rightBrace">
          <a:avLst>
            <a:gd name="adj1" fmla="val 8333"/>
            <a:gd name="adj2" fmla="val 29829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0.75237</cdr:x>
      <cdr:y>0.25456</cdr:y>
    </cdr:from>
    <cdr:to>
      <cdr:x>0.99397</cdr:x>
      <cdr:y>0.53122</cdr:y>
    </cdr:to>
    <cdr:grpSp>
      <cdr:nvGrpSpPr>
        <cdr:cNvPr id="19" name="Grupo 18">
          <a:extLst xmlns:a="http://schemas.openxmlformats.org/drawingml/2006/main">
            <a:ext uri="{FF2B5EF4-FFF2-40B4-BE49-F238E27FC236}">
              <a16:creationId xmlns:a16="http://schemas.microsoft.com/office/drawing/2014/main" id="{43E73BE4-588E-45DC-B07F-87A1D48D6B98}"/>
            </a:ext>
          </a:extLst>
        </cdr:cNvPr>
        <cdr:cNvGrpSpPr/>
      </cdr:nvGrpSpPr>
      <cdr:grpSpPr>
        <a:xfrm xmlns:a="http://schemas.openxmlformats.org/drawingml/2006/main">
          <a:off x="4942376" y="840395"/>
          <a:ext cx="1587088" cy="913356"/>
          <a:chOff x="-118136" y="-50384"/>
          <a:chExt cx="1768394" cy="546907"/>
        </a:xfrm>
      </cdr:grpSpPr>
      <cdr:sp macro="" textlink="">
        <cdr:nvSpPr>
          <cdr:cNvPr id="23" name="CuadroTexto 3">
            <a:extLst xmlns:a="http://schemas.openxmlformats.org/drawingml/2006/main">
              <a:ext uri="{FF2B5EF4-FFF2-40B4-BE49-F238E27FC236}">
                <a16:creationId xmlns:a16="http://schemas.microsoft.com/office/drawing/2014/main" id="{C5AD8BF3-D5DB-43D7-800F-DEA9B011B08C}"/>
              </a:ext>
            </a:extLst>
          </cdr:cNvPr>
          <cdr:cNvSpPr txBox="1"/>
        </cdr:nvSpPr>
        <cdr:spPr>
          <a:xfrm xmlns:a="http://schemas.openxmlformats.org/drawingml/2006/main">
            <a:off x="-118136" y="-50384"/>
            <a:ext cx="1768394" cy="546907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Total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turismo canario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dr:txBody>
      </cdr:sp>
      <cdr:sp macro="" textlink="'distribución españoles x Resid'!$N$9">
        <cdr:nvSpPr>
          <cdr:cNvPr id="24" name="CuadroTexto 4">
            <a:extLst xmlns:a="http://schemas.openxmlformats.org/drawingml/2006/main">
              <a:ext uri="{FF2B5EF4-FFF2-40B4-BE49-F238E27FC236}">
                <a16:creationId xmlns:a16="http://schemas.microsoft.com/office/drawing/2014/main" id="{7BF59A4D-C9D0-46F6-A505-3100DBB18C12}"/>
              </a:ext>
            </a:extLst>
          </cdr:cNvPr>
          <cdr:cNvSpPr txBox="1"/>
        </cdr:nvSpPr>
        <cdr:spPr>
          <a:xfrm xmlns:a="http://schemas.openxmlformats.org/drawingml/2006/main">
            <a:off x="269366" y="246761"/>
            <a:ext cx="958037" cy="17989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/>
            <a:fld id="{412286F5-1A05-47E0-97D1-52FF465F2855}" type="TxLink">
              <a:rPr lang="en-US" sz="1600" b="1" i="0" u="none" strike="noStrike">
                <a:solidFill>
                  <a:srgbClr val="7B8279"/>
                </a:solidFill>
                <a:latin typeface="Calibri"/>
                <a:ea typeface="Calibri"/>
                <a:cs typeface="Calibri"/>
              </a:rPr>
              <a:pPr marL="0" indent="0" algn="ctr"/>
              <a:t>10.910</a:t>
            </a:fld>
            <a:endParaRPr lang="es-ES" sz="2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0.73929</cdr:x>
      <cdr:y>0.56868</cdr:y>
    </cdr:from>
    <cdr:to>
      <cdr:x>0.99304</cdr:x>
      <cdr:y>0.84945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D63E92D-ACB2-45A8-BCA5-E07887F3BD29}"/>
            </a:ext>
          </a:extLst>
        </cdr:cNvPr>
        <cdr:cNvGrpSpPr/>
      </cdr:nvGrpSpPr>
      <cdr:grpSpPr>
        <a:xfrm xmlns:a="http://schemas.openxmlformats.org/drawingml/2006/main">
          <a:off x="4856452" y="1877420"/>
          <a:ext cx="1666903" cy="926924"/>
          <a:chOff x="4210084" y="1879587"/>
          <a:chExt cx="1581328" cy="927994"/>
        </a:xfrm>
      </cdr:grpSpPr>
      <cdr:sp macro="" textlink="">
        <cdr:nvSpPr>
          <cdr:cNvPr id="21" name="4 CuadroTexto">
            <a:extLst xmlns:a="http://schemas.openxmlformats.org/drawingml/2006/main">
              <a:ext uri="{FF2B5EF4-FFF2-40B4-BE49-F238E27FC236}">
                <a16:creationId xmlns:a16="http://schemas.microsoft.com/office/drawing/2014/main" id="{5DDA589D-22D4-4B16-B090-802F84D0510E}"/>
              </a:ext>
            </a:extLst>
          </cdr:cNvPr>
          <cdr:cNvSpPr txBox="1"/>
        </cdr:nvSpPr>
        <cdr:spPr>
          <a:xfrm xmlns:a="http://schemas.openxmlformats.org/drawingml/2006/main">
            <a:off x="4210084" y="1879587"/>
            <a:ext cx="1581328" cy="927994"/>
          </a:xfrm>
          <a:prstGeom xmlns:a="http://schemas.openxmlformats.org/drawingml/2006/main" prst="rect">
            <a:avLst/>
          </a:prstGeom>
          <a:ln xmlns:a="http://schemas.openxmlformats.org/drawingml/2006/main" w="3175">
            <a:solidFill>
              <a:schemeClr val="accent1"/>
            </a:solidFill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Turismo Canario</a:t>
            </a:r>
          </a:p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 </a:t>
            </a:r>
          </a:p>
        </cdr:txBody>
      </cdr:sp>
      <cdr:sp macro="" textlink="'distribución españoles x Resid'!$S$9">
        <cdr:nvSpPr>
          <cdr:cNvPr id="22" name="CuadroTexto 1">
            <a:extLst xmlns:a="http://schemas.openxmlformats.org/drawingml/2006/main">
              <a:ext uri="{FF2B5EF4-FFF2-40B4-BE49-F238E27FC236}">
                <a16:creationId xmlns:a16="http://schemas.microsoft.com/office/drawing/2014/main" id="{7A1FB039-8E15-44CE-9502-D48144CFC5DB}"/>
              </a:ext>
            </a:extLst>
          </cdr:cNvPr>
          <cdr:cNvSpPr txBox="1"/>
        </cdr:nvSpPr>
        <cdr:spPr>
          <a:xfrm xmlns:a="http://schemas.openxmlformats.org/drawingml/2006/main">
            <a:off x="4562251" y="2317629"/>
            <a:ext cx="731698" cy="333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r"/>
            <a:fld id="{6252F33D-EF1C-47C4-96A5-DEAC3CCFC160}" type="TxLink">
              <a:rPr lang="en-US" sz="1400" b="1" i="0" u="none" strike="noStrike">
                <a:solidFill>
                  <a:schemeClr val="accent6"/>
                </a:solidFill>
                <a:latin typeface="Calibri"/>
                <a:ea typeface="Calibri"/>
                <a:cs typeface="Calibri"/>
              </a:rPr>
              <a:pPr marL="0" indent="0" algn="r"/>
              <a:t>37,0%</a:t>
            </a:fld>
            <a:endParaRPr lang="es-ES" sz="1800" b="1" i="0" u="none" strike="noStrike">
              <a:solidFill>
                <a:schemeClr val="accent6"/>
              </a:solidFill>
              <a:latin typeface="Calibri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0.76539</cdr:x>
      <cdr:y>0.77333</cdr:y>
    </cdr:from>
    <cdr:to>
      <cdr:x>0.97535</cdr:x>
      <cdr:y>0.84538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0D6E40F3-67BA-46DA-9F8A-37F48AFBB0E0}"/>
            </a:ext>
          </a:extLst>
        </cdr:cNvPr>
        <cdr:cNvSpPr txBox="1"/>
      </cdr:nvSpPr>
      <cdr:spPr>
        <a:xfrm xmlns:a="http://schemas.openxmlformats.org/drawingml/2006/main">
          <a:off x="5027931" y="2553033"/>
          <a:ext cx="1379220" cy="237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i="0" u="none" strike="noStrike">
              <a:solidFill>
                <a:schemeClr val="accent2"/>
              </a:solidFill>
              <a:latin typeface="Calibri"/>
            </a:rPr>
            <a:t>del total España</a:t>
          </a:r>
          <a:endParaRPr lang="es-ES" sz="1600" b="1">
            <a:solidFill>
              <a:schemeClr val="accent2"/>
            </a:solidFill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EC81AED1-FB6C-423C-88FE-BCEB1BD744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C2146083-7493-4924-AF55-EA6CE97DD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75FBD0C6-13F6-49D5-A819-31F1D342C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A592F28-B79B-419A-9717-AB8739B565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71BC7C3-6684-4714-A6D1-8223AD0694D0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San Cristóbal de La Laguna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españole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29.490 viajeros 
cuota: 100,0%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españole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#¡REF!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4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50CDB77E-746C-4505-AD41-D4C21DFA1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6BDC2835-84AB-4F85-BEB1-12638EB0E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23ABB1C3-E1AB-49C7-B865-EF9FAA128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B16223F-62BB-4202-8F5B-A4EB5539A4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re x cate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lugar categoría del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peninsulare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18.580 viajeros 
cuota: 100,0%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peninsulare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#¡VALOR!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40147A55-F101-4D9E-AB33-6C865369C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565A3E78-53CE-4C2E-8B5F-264596604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39DF3AD2-D2F5-4CAA-9055-F072FCA5C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99EBD0F-9330-4EBB-BC16-F2C075550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o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DD7FDF9-C129-4B73-A2D8-1D48F8148B42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canarios entrados en los hoteles y apartamentos de San Cristóbal de La Laguna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canario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10.910 viajeros 
cuota: 100,0%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canario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#¡VALOR!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20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3F0C2453-F783-4911-A3BA-164DC36DFD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1995ADF3-D6BA-4500-989B-35C19FB32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07B05EED-4D9E-4922-8FB4-7B58030C9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0178C873-5BE4-420E-B52B-DCE9BE6EE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F48FABA-56D6-4313-8A96-0B386000B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mun al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C6A9E9D5-C494-4232-821E-8881CA80C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802184CE-5A5E-4382-A67C-284857EDC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0B1087E9-0C1F-4FD9-9A11-4881C524E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08A057B6-8708-42F0-84E7-B1D1A3BBD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07F44B0-E3E3-4B5F-AB1B-F33A4DA62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8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DF63ADC2-5E10-46F6-BD2E-D1383A870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5FF3EEB3-4420-4DE1-B785-89651E969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F9BBFE91-D17B-46F7-B5F3-479EDBCB3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52D0FA35-2912-4251-9DA0-8449FAFFE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118DFB7-C7FB-47B2-A7A5-469AF3CBCC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as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canarios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81AEF83-6E15-465D-8919-269B41B42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B1E4FB-3A54-4F27-949D-8280C5D04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9EA37F-3D17-4AA8-B53A-A607AD016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españo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españoles entrados en los establecimientos alojativos de San Cristóbal de La Laguna
(hotel + apartamento)</a:t>
          </a:fld>
          <a:endParaRPr lang="es-ES" sz="1100"/>
        </a:p>
      </cdr:txBody>
    </cdr:sp>
  </cdr:rel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C249403-4EED-49EE-8F14-35D63B5572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6F8AF4-1F30-4BE1-859A-B726B7F68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82ED7D-0298-49A4-B2D2-DB22D4E1B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penins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peninsulares entrados en los establecimientos alojativos de San Cristóbal de La Laguna
(hotel + apartamento)</a:t>
          </a:fld>
          <a:endParaRPr lang="es-ES" sz="1100"/>
        </a:p>
      </cdr:txBody>
    </cdr:sp>
  </cdr:relSizeAnchor>
</c:userShapes>
</file>

<file path=xl/drawings/drawing1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8CC372-58FB-4793-A44C-6062A98C2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0E5BB1-23FF-4675-8584-1FBC89845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57D8D98-438D-45F6-B9EE-7DF0B755A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canari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canarios entrados en los establecimientos alojativos de San Cristóbal de La Laguna
(hotel + apartamento)</a:t>
          </a:fld>
          <a:endParaRPr lang="es-E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133631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5FF2DD-2C79-4128-9DC1-A9F0F1B1C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5</xdr:row>
      <xdr:rowOff>284480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0CAC5A-A427-412A-B7F4-BCE12506A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762000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D030E9-5949-4C2F-9125-EC6896FB1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711075-D01E-46B7-A05D-F47DAD368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A8CF5A2-742E-4A0A-BB9F-A8D597D31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5DAA99-FA9E-4EEC-8C7B-8F8F36BE7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3B29656-BD1A-4C2C-9866-28B83813C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114C8D1-E813-423E-8DBB-7517C0785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09D9ECC-7E50-4C9A-A57D-6825049A2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343E988-402B-47A2-A6C8-4BACE970E9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665FBAF-3BC6-4ED8-A69B-8B61EA256B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San Cristóbal de La Laguna</a:t>
          </a:fld>
          <a:endParaRPr lang="es-E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4, 5 estrellas San Cristóbal de La Laguna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1, 2, 3 estrellas San Cristóbal de La Laguna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0.91106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000488"/>
          <a:ext cx="4268009" cy="390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apartamentos de San Cristóbal de La Laguna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571BB2-C78D-4111-8F1E-BE864CD60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8FA37A-045D-4C02-9A97-5098F0CE6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A147D42-3FBA-4045-B305-575D5A3AE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CCEFE5A-7A06-4427-B2CB-5753F086A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8EDA34-951D-4C2A-BDEB-C026C82712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2</xdr:row>
      <xdr:rowOff>129821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55A0F9-F08F-4C34-A7A1-05C7F48B3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140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1</xdr:col>
      <xdr:colOff>0</xdr:colOff>
      <xdr:row>5</xdr:row>
      <xdr:rowOff>364172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33EBF3-A457-4CFD-89F9-2E468FCF9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762000" cy="6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San Cristóbal de La Laguna</a:t>
          </a:fld>
          <a:endParaRPr lang="es-ES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4, 5 estrellas de San Cristóbal de La Laguna</a:t>
          </a:fld>
          <a:endParaRPr lang="es-ES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2</xdr:row>
      <xdr:rowOff>371475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FD38D2-A1DF-4073-A4C8-EA8BC135E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9CB989-2E0A-4D4F-8DE3-14D53C780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BE38F5-1CAB-44B7-8DBA-63BE3F6AD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712A89-E41E-4578-8407-92928A887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3925629-E734-4850-BD12-35A8BCA25B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entrados lugar resid años 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88B507-5E6C-4284-8ADA-B073B28FF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</xdr:row>
      <xdr:rowOff>38100</xdr:rowOff>
    </xdr:from>
    <xdr:to>
      <xdr:col>31</xdr:col>
      <xdr:colOff>186690</xdr:colOff>
      <xdr:row>26</xdr:row>
      <xdr:rowOff>15240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14DBA0E2-5439-498D-BF56-7BC9EDBD1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79EBE3-21E4-47ED-BE80-E489F3824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cia'!$M$6:$T$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6B25C01-D8B5-45F5-AEF0-E4EBE0EDCB7F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21A930-7E13-44EA-9274-F76CAB53A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057956-7668-4E35-A8EA-0C50755E9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133350</xdr:colOff>
      <xdr:row>3</xdr:row>
      <xdr:rowOff>285750</xdr:rowOff>
    </xdr:from>
    <xdr:to>
      <xdr:col>37</xdr:col>
      <xdr:colOff>567690</xdr:colOff>
      <xdr:row>27</xdr:row>
      <xdr:rowOff>72390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4F90A567-45D0-4566-89D9-26E7E5B516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cu'!$P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180975</xdr:rowOff>
    </xdr:from>
    <xdr:to>
      <xdr:col>11</xdr:col>
      <xdr:colOff>28575</xdr:colOff>
      <xdr:row>24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B2F6B10-4FB3-471D-92A8-4AB23F275E12}"/>
            </a:ext>
          </a:extLst>
        </xdr:cNvPr>
        <xdr:cNvGrpSpPr/>
      </xdr:nvGrpSpPr>
      <xdr:grpSpPr>
        <a:xfrm>
          <a:off x="638175" y="3714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DFC46CF2-E71F-5DE8-2065-2B28402057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B0A59D64-FA41-4451-0546-1FFF47E16BE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marL="0" indent="0" algn="ctr" rtl="0">
              <a:defRPr sz="1000"/>
            </a:pPr>
            <a:r>
              <a:rPr lang="es-ES" sz="48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Estimación oferta hoteles y apartamentos en funcionamiento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0B8E60-2BFB-4A7B-9DF1-9C8E9AB93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99878C-14E6-483E-B941-69F5CAD99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3</xdr:row>
      <xdr:rowOff>257175</xdr:rowOff>
    </xdr:from>
    <xdr:to>
      <xdr:col>36</xdr:col>
      <xdr:colOff>434340</xdr:colOff>
      <xdr:row>27</xdr:row>
      <xdr:rowOff>43815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2B8A341E-2A3A-4142-BC1A-676AECB301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0768"/>
          <a:ext cx="8033258" cy="19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ho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hoteles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68D427-0914-4DBC-B3A6-D4427169E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13AA5F-C5E0-4242-8190-47FD89546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2</xdr:row>
      <xdr:rowOff>161925</xdr:rowOff>
    </xdr:from>
    <xdr:to>
      <xdr:col>35</xdr:col>
      <xdr:colOff>148590</xdr:colOff>
      <xdr:row>25</xdr:row>
      <xdr:rowOff>139065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20440D7-1171-4C89-98CB-87FFD28091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p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apartamentos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9525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357305-8F4E-4BED-A473-3997F4423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858520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041B3A-BC8B-46BA-9C06-6A9DB2091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745" cy="5146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9F0740-44BF-4A93-AF2F-3DF4D68FE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0E1987-E597-44C6-9CDA-71C829E52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11</xdr:col>
      <xdr:colOff>85725</xdr:colOff>
      <xdr:row>25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F120A96-DD57-4A7A-8E39-5AF59026918B}"/>
            </a:ext>
          </a:extLst>
        </xdr:cNvPr>
        <xdr:cNvGrpSpPr/>
      </xdr:nvGrpSpPr>
      <xdr:grpSpPr>
        <a:xfrm>
          <a:off x="695325" y="4095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D32D2DC7-72BA-61CA-A0C4-5FF6667829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8A1A7D06-1878-E94A-1C8A-A41F35E4D56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alojados en hoteles y apartamentos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56712E-749B-456A-809A-325C1704E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5E06B1-DAFA-48F3-909C-E3B61D2AF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665" cy="514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695325</xdr:colOff>
      <xdr:row>2</xdr:row>
      <xdr:rowOff>38100</xdr:rowOff>
    </xdr:from>
    <xdr:to>
      <xdr:col>31</xdr:col>
      <xdr:colOff>367665</xdr:colOff>
      <xdr:row>25</xdr:row>
      <xdr:rowOff>15240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4826314F-61E9-44C4-89B7-17B607141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 lugar residen mes'!$K$5:$R$5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CE42E48-A969-4C58-9403-3DC7E77104E1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2D2C22-0114-4E72-96C2-337762EDF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9B83E4-3CDE-4A36-83FD-B534A2E6E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1</xdr:row>
      <xdr:rowOff>28575</xdr:rowOff>
    </xdr:from>
    <xdr:to>
      <xdr:col>37</xdr:col>
      <xdr:colOff>28575</xdr:colOff>
      <xdr:row>24</xdr:row>
      <xdr:rowOff>5715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32DBD704-1F73-4C19-B77C-F3C1D011E5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003A6C-8571-4654-8763-1D7681C25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204D78-B834-45C3-934C-0A11CCA5A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84D5886-8228-46D6-B53E-F53D30FB3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ados lugar residen acu'!$O$4:$X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87FA05-E7EC-492D-8F75-A46E8AF659B7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11</xdr:col>
      <xdr:colOff>190500</xdr:colOff>
      <xdr:row>25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E075C94-8284-445C-BED4-1AB28E966DC7}"/>
            </a:ext>
          </a:extLst>
        </xdr:cNvPr>
        <xdr:cNvGrpSpPr/>
      </xdr:nvGrpSpPr>
      <xdr:grpSpPr>
        <a:xfrm>
          <a:off x="800100" y="43815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4CB69D2B-69DA-238E-B6D1-13220BB1C4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9410D215-6B4A-081D-D43E-997F5D634E9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Pernoctaciones en hoteles y apartamentos</a:t>
            </a:r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991BB24-1873-4997-9F10-EF844A3E31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849630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F7BA55-AC62-4786-8E1B-8303E9C2F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390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AC66DDF-6F77-4F6B-BB58-B9367F68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045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06CA302-7196-4CFA-AC8D-EEE150156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503A8CE-D1DE-4C36-AD0F-C1A0F0A7F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EB52C3C-73A7-4D69-AE01-9E46C4DEF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52FCA1A-6901-4966-99A2-65F20B6A4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BE353E4-6608-40A6-81F8-D0FAB6C83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38100</xdr:colOff>
      <xdr:row>135</xdr:row>
      <xdr:rowOff>0</xdr:rowOff>
    </xdr:from>
    <xdr:to>
      <xdr:col>25</xdr:col>
      <xdr:colOff>698100</xdr:colOff>
      <xdr:row>155</xdr:row>
      <xdr:rowOff>104776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B77BF910-C466-4325-9B30-91DC4B7EB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38100</xdr:colOff>
      <xdr:row>156</xdr:row>
      <xdr:rowOff>171450</xdr:rowOff>
    </xdr:from>
    <xdr:to>
      <xdr:col>25</xdr:col>
      <xdr:colOff>698100</xdr:colOff>
      <xdr:row>177</xdr:row>
      <xdr:rowOff>85726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B1E051C7-2D34-4465-99F1-4F5578B51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CA824C4D-8501-453C-AF35-32F1C076F5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18717311-BA1D-4F07-A942-D4E248E7F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19050</xdr:colOff>
      <xdr:row>223</xdr:row>
      <xdr:rowOff>0</xdr:rowOff>
    </xdr:from>
    <xdr:to>
      <xdr:col>25</xdr:col>
      <xdr:colOff>679050</xdr:colOff>
      <xdr:row>243</xdr:row>
      <xdr:rowOff>66676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B363A967-6D76-4A0A-A718-316829765C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249</xdr:row>
      <xdr:rowOff>0</xdr:rowOff>
    </xdr:from>
    <xdr:to>
      <xdr:col>25</xdr:col>
      <xdr:colOff>660000</xdr:colOff>
      <xdr:row>269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48F85C2F-DCD1-44CE-B075-170E215DF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españoles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Península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Canarias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Total residentes en el extranjero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Reino Unido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Alemania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D9BA98-60F5-4204-8895-EABE9560B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7FD7CB-4A13-4813-A5B1-8A905A96E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F190D44-52C7-43B4-9110-BEC24D0CF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Francia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Bélgica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Países Bajos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99087FA-C4E9-4D1C-A811-CCBF4BDBA11C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Dinamarca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50:$N$2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BE389B-CCFC-40C6-BAAE-B88837C1348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Suecia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745E06-C1D8-4661-977D-559445067D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07A7C8-9F54-4D98-B0B9-1AFE11E7F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ED75EA2-96EC-4A98-9ED1-FEFB73C70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8A4A83D-B668-4775-89C5-77E95ADF0E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56A5481-412D-4842-92F2-E0D66C3CE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558937D-31E2-43E0-BBD1-12DB75625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C7C07E3-1E98-4E1C-BA86-AAE439730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San Cristóbal de La Laguna</a:t>
          </a:fld>
          <a:endParaRPr lang="es-ES" sz="1100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4 y 5 estrellas de San Cristóbal de La Laguna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1, 2, 3 estrellas de San Cristóbal de La Laguna</a:t>
          </a:fld>
          <a:endParaRPr lang="es-E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161925</xdr:rowOff>
    </xdr:from>
    <xdr:to>
      <xdr:col>11</xdr:col>
      <xdr:colOff>180975</xdr:colOff>
      <xdr:row>24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856F5DB-CEEA-49E8-B2EC-BDDA528BB103}"/>
            </a:ext>
          </a:extLst>
        </xdr:cNvPr>
        <xdr:cNvGrpSpPr/>
      </xdr:nvGrpSpPr>
      <xdr:grpSpPr>
        <a:xfrm>
          <a:off x="790575" y="3524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4033130C-0E2D-298F-BE14-F002AE8DEA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09A6CF41-0496-8C90-8D82-5B946620A9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5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entrados en hoteles y apartamentos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apartamentos de San Cristóbal de La Laguna</a:t>
          </a:fld>
          <a:endParaRPr lang="es-ES" sz="1100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2CBE80-DC4A-403E-BC99-A8C57693F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57F08E-14CD-4623-9E9B-C53BB6001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B9F5B2-9E6C-4B98-BBD6-53EFEEDBB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733D31-1C71-4333-83FD-3324227FF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5D48B2-7FB7-4BE8-BFDC-683545ADE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6403C6-9331-4A8D-AF65-FE49F0F7B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161925</xdr:colOff>
      <xdr:row>25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2FE5807-9908-4F46-81FD-C12F0ECB99C5}"/>
            </a:ext>
          </a:extLst>
        </xdr:cNvPr>
        <xdr:cNvGrpSpPr/>
      </xdr:nvGrpSpPr>
      <xdr:grpSpPr>
        <a:xfrm>
          <a:off x="771525" y="5715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6B2E795E-1B6A-F926-182C-B109877427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F7DCBAB2-DBFD-02D5-9079-84D5415150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Estancia media en hoteles y apartamentos</a:t>
            </a:r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386C2A-A757-4650-9DBF-D862975EA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F2FAD5-94E0-43B9-9480-95E1DC7C1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D06AE7-1144-4ABD-BC65-DE1BB9710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2A4B4ED-585D-4523-9D2F-7B39D195C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26</xdr:col>
      <xdr:colOff>9525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CBE3155-B506-49B1-BB75-B25E9B1E2A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F7D6A25-E84F-4345-8687-328A28FA7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6A59FC3-23D9-4D95-9AB3-070AEABD7B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DE014E0-E1DD-426D-BBFC-F31D74E5A4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285749</xdr:colOff>
      <xdr:row>134</xdr:row>
      <xdr:rowOff>66676</xdr:rowOff>
    </xdr:from>
    <xdr:to>
      <xdr:col>26</xdr:col>
      <xdr:colOff>28575</xdr:colOff>
      <xdr:row>154</xdr:row>
      <xdr:rowOff>9526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BF7AB3A1-AC46-47C3-94F0-94EB8F45A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86926EE3-D72D-4E9A-905F-B64B072874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34F015AD-23D5-4EAA-BB5C-BB303FFD3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F391CD24-26FF-4DCC-8B5E-98112A2E46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B8186E08-A077-4744-BE20-FAF11E66EC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7A90C8BA-3910-4F98-ADF8-3B3EBEB069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4F1CA685-7D69-41CF-9389-036C6A31C2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EM evol menusual lugar resd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San Cristóbal de La Laguna
(hotel + apartamento)</a:t>
          </a:fld>
          <a:endParaRPr lang="es-ES" sz="1100"/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0.99276</cdr:x>
      <cdr:y>0.1721</cdr:y>
    </cdr:to>
    <cdr:sp macro="" textlink="'EM evol menusual lugar resd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00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españoles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0.99736</cdr:x>
      <cdr:y>0.1721</cdr:y>
    </cdr:to>
    <cdr:sp macro="" textlink="'EM evol menusual lugar resd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581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peninsulares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canarios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37D2EA8-0809-4267-B227-EDC2B497B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A36AF7-A862-4BE2-A93A-1EB81E4CB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7015AD-35DD-4A18-9B27-8A4E0C9E8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8476BF2-5FED-4C7C-8D00-B582F69630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B10829C-690C-47A8-A4B9-685624DA8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7980C85-EF63-43F5-B154-FA6CAF51DA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4639E08-5471-49DD-B12A-3BEC14820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3253D24-E9BB-4678-BB0E-190362F1C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619124</xdr:colOff>
      <xdr:row>134</xdr:row>
      <xdr:rowOff>95251</xdr:rowOff>
    </xdr:from>
    <xdr:to>
      <xdr:col>26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8433230E-6BA6-42EE-AB17-213C917DED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9B9817ED-76A0-476C-A15A-4FF85ECE6A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9D299545-DB89-4B45-9549-4A305B8E67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F2C047CF-C3E7-475D-A5E4-A0A918070F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C0836B8E-8306-4A49-8383-FCA3CB3F8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84B4BA8D-D8E1-4DA6-B869-005B13F77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53DB7A37-063D-4807-A81D-5579A6E4F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extranjeros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británicos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0.14865</cdr:y>
    </cdr:to>
    <cdr:sp macro="" textlink="'EM evol menusual lugar resd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6536"/>
          <a:ext cx="7729496" cy="612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alemanes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franceses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0.99391</cdr:x>
      <cdr:y>0.1721</cdr:y>
    </cdr:to>
    <cdr:sp macro="" textlink="'EM evol menusual lugar resd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9600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holandeses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daneses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suecos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409574</xdr:colOff>
      <xdr:row>2</xdr:row>
      <xdr:rowOff>142874</xdr:rowOff>
    </xdr:from>
    <xdr:to>
      <xdr:col>25</xdr:col>
      <xdr:colOff>307574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3B51BC-3E6C-4646-835B-DE285546EE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C05370-1C81-4216-8444-86201E5E9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F69F072-CA84-4348-80C0-8FD4326C6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342900</xdr:colOff>
      <xdr:row>25</xdr:row>
      <xdr:rowOff>114300</xdr:rowOff>
    </xdr:from>
    <xdr:to>
      <xdr:col>25</xdr:col>
      <xdr:colOff>240900</xdr:colOff>
      <xdr:row>46</xdr:row>
      <xdr:rowOff>28576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ADDEE61-8303-4A6F-A8DA-24B565F223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0DBC8F4-97B7-487E-84A7-E715384190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47EE9B-B76C-418F-9B77-B1DCD053A0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10DB7B6-ADC4-4CC2-8B12-DB96EB279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San Cristóbal de La Laguna
(hotel + apartamento)</a:t>
          </a:fld>
          <a:endParaRPr lang="es-ES" sz="1100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San Cristóbal de La Laguna</a:t>
          </a:fld>
          <a:endParaRPr lang="es-ES" sz="1100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4, 5 estrellas de San Cristóbal de La Laguna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1, 2, 3 Estrellas de San Cristóbal de La Laguna</a:t>
          </a:fld>
          <a:endParaRPr lang="es-ES" sz="1100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apartamentos de San Cristóbal de La Laguna</a:t>
          </a:fld>
          <a:endParaRPr lang="es-ES" sz="1100"/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123825</xdr:rowOff>
    </xdr:from>
    <xdr:to>
      <xdr:col>10</xdr:col>
      <xdr:colOff>609600</xdr:colOff>
      <xdr:row>24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D3FFB30-A5DF-4D66-8A57-B42C3816269F}"/>
            </a:ext>
          </a:extLst>
        </xdr:cNvPr>
        <xdr:cNvGrpSpPr/>
      </xdr:nvGrpSpPr>
      <xdr:grpSpPr>
        <a:xfrm>
          <a:off x="457200" y="3143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8ED45B95-F70D-A18B-FCC1-8F5227DABD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04CCA4C2-8AAC-DCF9-7D6F-F41D7484343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Tasa de ocupación por plaza en hoteles y apartamentos</a:t>
            </a:r>
          </a:p>
        </xdr:txBody>
      </xdr:sp>
    </xdr:grpSp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704849</xdr:colOff>
      <xdr:row>3</xdr:row>
      <xdr:rowOff>104774</xdr:rowOff>
    </xdr:from>
    <xdr:to>
      <xdr:col>25</xdr:col>
      <xdr:colOff>621899</xdr:colOff>
      <xdr:row>22</xdr:row>
      <xdr:rowOff>167099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FE032E-08EB-4B4C-B585-C54FC3332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228599</xdr:colOff>
      <xdr:row>91</xdr:row>
      <xdr:rowOff>419099</xdr:rowOff>
    </xdr:from>
    <xdr:to>
      <xdr:col>26</xdr:col>
      <xdr:colOff>126599</xdr:colOff>
      <xdr:row>112</xdr:row>
      <xdr:rowOff>100424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971C31A0-7714-4F5E-A5F3-40EABF309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228599</xdr:colOff>
      <xdr:row>69</xdr:row>
      <xdr:rowOff>419099</xdr:rowOff>
    </xdr:from>
    <xdr:to>
      <xdr:col>26</xdr:col>
      <xdr:colOff>126599</xdr:colOff>
      <xdr:row>90</xdr:row>
      <xdr:rowOff>100424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805D33A0-6167-4BF9-ABB0-243BBF997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19050</xdr:rowOff>
    </xdr:from>
    <xdr:to>
      <xdr:col>0</xdr:col>
      <xdr:colOff>857250</xdr:colOff>
      <xdr:row>4</xdr:row>
      <xdr:rowOff>59055</xdr:rowOff>
    </xdr:to>
    <xdr:pic>
      <xdr:nvPicPr>
        <xdr:cNvPr id="5" name="Imagen 4" descr="Iconos Png Gratis Resume Volver Icono Descarga Gratuita - Pump ...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0FA828C-1BBB-45C0-9B00-A7A2FC88A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85800"/>
          <a:ext cx="77152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34571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35395DD-5708-4302-869A-29F4A89CC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904875</xdr:colOff>
      <xdr:row>24</xdr:row>
      <xdr:rowOff>180975</xdr:rowOff>
    </xdr:from>
    <xdr:to>
      <xdr:col>26</xdr:col>
      <xdr:colOff>59925</xdr:colOff>
      <xdr:row>46</xdr:row>
      <xdr:rowOff>14700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F560229-A578-43D6-8367-BCB757EE6D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838200</xdr:colOff>
      <xdr:row>47</xdr:row>
      <xdr:rowOff>114300</xdr:rowOff>
    </xdr:from>
    <xdr:to>
      <xdr:col>25</xdr:col>
      <xdr:colOff>755250</xdr:colOff>
      <xdr:row>68</xdr:row>
      <xdr:rowOff>138525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D8827F4-F7F4-490B-A17A-40033B1C55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0.00447</cdr:x>
      <cdr:y>0.00849</cdr:y>
    </cdr:from>
    <cdr:to>
      <cdr:x>0.9787</cdr:x>
      <cdr:y>0.17668</cdr:y>
    </cdr:to>
    <cdr:sp macro="" textlink="'tasa de ocupación evol mens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8100" y="35308"/>
          <a:ext cx="8307892" cy="69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6CFC90-4DF6-4210-BB46-D250B73FFBF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establecimientos alojativos de San Cristóbal de La Laguna
(hotel + apartamento)</a:t>
          </a:fld>
          <a:endParaRPr lang="es-ES" sz="1100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22729FC-E7B2-4A0C-AAE8-8BF44637D087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apartamentos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5FA83AF-8EEE-4570-A963-F3AE91B89BED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hoteles de 4 estrellas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28AD5-7560-4E83-AFA9-26E45FE5228A}">
  <dimension ref="B1:M56"/>
  <sheetViews>
    <sheetView showGridLines="0" tabSelected="1" workbookViewId="0">
      <selection activeCell="D5" sqref="D5"/>
    </sheetView>
  </sheetViews>
  <sheetFormatPr baseColWidth="10" defaultRowHeight="15" x14ac:dyDescent="0.25"/>
  <cols>
    <col min="1" max="1" width="13.7109375" customWidth="1"/>
    <col min="2" max="2" width="147.7109375" customWidth="1"/>
  </cols>
  <sheetData>
    <row r="1" spans="2:13" x14ac:dyDescent="0.25">
      <c r="B1" s="1" t="s">
        <v>0</v>
      </c>
    </row>
    <row r="2" spans="2:13" ht="36" x14ac:dyDescent="0.55000000000000004">
      <c r="B2" s="2" t="s">
        <v>1</v>
      </c>
      <c r="M2" t="e">
        <f>#REF!/#REF!</f>
        <v>#REF!</v>
      </c>
    </row>
    <row r="3" spans="2:13" ht="36" x14ac:dyDescent="0.55000000000000004">
      <c r="B3" s="2" t="s">
        <v>51</v>
      </c>
    </row>
    <row r="4" spans="2:13" ht="23.25" x14ac:dyDescent="0.35">
      <c r="B4" s="3" t="s">
        <v>213</v>
      </c>
    </row>
    <row r="5" spans="2:13" x14ac:dyDescent="0.25">
      <c r="B5" s="4"/>
    </row>
    <row r="6" spans="2:13" ht="21.75" thickBot="1" x14ac:dyDescent="0.4">
      <c r="B6" s="5" t="s">
        <v>2</v>
      </c>
    </row>
    <row r="7" spans="2:13" ht="15.75" thickTop="1" x14ac:dyDescent="0.25"/>
    <row r="8" spans="2:13" ht="15.75" x14ac:dyDescent="0.25">
      <c r="B8" s="6" t="s">
        <v>214</v>
      </c>
    </row>
    <row r="9" spans="2:13" ht="15.75" x14ac:dyDescent="0.25">
      <c r="B9" s="6" t="s">
        <v>3</v>
      </c>
    </row>
    <row r="10" spans="2:13" ht="15.75" x14ac:dyDescent="0.25">
      <c r="B10" s="6"/>
    </row>
    <row r="11" spans="2:13" ht="19.5" thickBot="1" x14ac:dyDescent="0.35">
      <c r="B11" s="7" t="s">
        <v>4</v>
      </c>
    </row>
    <row r="12" spans="2:13" ht="18.75" x14ac:dyDescent="0.3">
      <c r="B12" s="8"/>
    </row>
    <row r="13" spans="2:13" ht="15.75" x14ac:dyDescent="0.25">
      <c r="B13" s="6" t="s">
        <v>5</v>
      </c>
    </row>
    <row r="14" spans="2:13" ht="15.75" x14ac:dyDescent="0.25">
      <c r="B14" s="6" t="s">
        <v>6</v>
      </c>
    </row>
    <row r="15" spans="2:13" x14ac:dyDescent="0.25">
      <c r="B15" s="9"/>
    </row>
    <row r="16" spans="2:13" ht="19.5" thickBot="1" x14ac:dyDescent="0.35">
      <c r="B16" s="7" t="s">
        <v>7</v>
      </c>
    </row>
    <row r="17" spans="2:2" ht="15.75" x14ac:dyDescent="0.25">
      <c r="B17" s="6"/>
    </row>
    <row r="18" spans="2:2" ht="15.75" x14ac:dyDescent="0.25">
      <c r="B18" s="10" t="s">
        <v>8</v>
      </c>
    </row>
    <row r="19" spans="2:2" ht="15.75" x14ac:dyDescent="0.25">
      <c r="B19" s="6" t="s">
        <v>215</v>
      </c>
    </row>
    <row r="20" spans="2:2" ht="15.75" x14ac:dyDescent="0.25">
      <c r="B20" s="6" t="s">
        <v>216</v>
      </c>
    </row>
    <row r="21" spans="2:2" ht="15.75" x14ac:dyDescent="0.25">
      <c r="B21" s="6" t="s">
        <v>217</v>
      </c>
    </row>
    <row r="22" spans="2:2" ht="15.75" x14ac:dyDescent="0.25">
      <c r="B22" s="6" t="s">
        <v>9</v>
      </c>
    </row>
    <row r="23" spans="2:2" ht="15.75" x14ac:dyDescent="0.25">
      <c r="B23" s="6" t="s">
        <v>10</v>
      </c>
    </row>
    <row r="24" spans="2:2" ht="15.75" x14ac:dyDescent="0.25">
      <c r="B24" s="6" t="s">
        <v>11</v>
      </c>
    </row>
    <row r="25" spans="2:2" ht="15.75" x14ac:dyDescent="0.25">
      <c r="B25" s="6" t="s">
        <v>12</v>
      </c>
    </row>
    <row r="26" spans="2:2" ht="15.75" x14ac:dyDescent="0.25">
      <c r="B26" s="6" t="s">
        <v>13</v>
      </c>
    </row>
    <row r="27" spans="2:2" ht="15.75" x14ac:dyDescent="0.25">
      <c r="B27" s="6" t="s">
        <v>14</v>
      </c>
    </row>
    <row r="28" spans="2:2" ht="15.75" x14ac:dyDescent="0.25">
      <c r="B28" s="6" t="s">
        <v>15</v>
      </c>
    </row>
    <row r="29" spans="2:2" ht="15.75" x14ac:dyDescent="0.25">
      <c r="B29" s="6" t="s">
        <v>16</v>
      </c>
    </row>
    <row r="30" spans="2:2" ht="15.75" x14ac:dyDescent="0.25">
      <c r="B30" s="6" t="s">
        <v>17</v>
      </c>
    </row>
    <row r="31" spans="2:2" ht="15.75" x14ac:dyDescent="0.25">
      <c r="B31" s="10" t="s">
        <v>18</v>
      </c>
    </row>
    <row r="32" spans="2:2" ht="15.75" x14ac:dyDescent="0.25">
      <c r="B32" s="6" t="s">
        <v>19</v>
      </c>
    </row>
    <row r="33" spans="2:2" ht="15.75" x14ac:dyDescent="0.25">
      <c r="B33" s="6" t="s">
        <v>20</v>
      </c>
    </row>
    <row r="34" spans="2:2" ht="15.75" x14ac:dyDescent="0.25">
      <c r="B34" s="10" t="s">
        <v>21</v>
      </c>
    </row>
    <row r="35" spans="2:2" ht="15.75" x14ac:dyDescent="0.25">
      <c r="B35" s="6" t="s">
        <v>218</v>
      </c>
    </row>
    <row r="36" spans="2:2" ht="15.75" x14ac:dyDescent="0.25">
      <c r="B36" s="6" t="s">
        <v>219</v>
      </c>
    </row>
    <row r="37" spans="2:2" ht="15.75" x14ac:dyDescent="0.25">
      <c r="B37" s="6" t="str">
        <f>CONCATENATE("Pernoctaciones en los establecimientos alojativos de Tenerife según lugar de residencia y municipio de alojamiento (hotel + apartamento) - mes")</f>
        <v>Pernoctaciones en los establecimientos alojativos de Tenerife según lugar de residencia y municipio de alojamiento (hotel + apartamento) - mes</v>
      </c>
    </row>
    <row r="38" spans="2:2" ht="15.75" x14ac:dyDescent="0.25">
      <c r="B38" s="6" t="str">
        <f>CONCATENATE("Pernoctaciones en los establecimientos alojativos de Tenerife según lugar de residencia y municipio de alojamiento (hotel + apartamento) - acumulado")</f>
        <v>Pernoctaciones en los establecimientos alojativos de Tenerife según lugar de residencia y municipio de alojamiento (hotel + apartamento) - acumulado</v>
      </c>
    </row>
    <row r="39" spans="2:2" ht="15.75" x14ac:dyDescent="0.25">
      <c r="B39" s="6" t="str">
        <f>CONCATENATE("Pernoctaciones en los establecimientos alojativos de Tenerife según lugar de residencia y municipio de alojamiento (hotel + apartamento) - año")</f>
        <v>Pernoctaciones en los establecimientos alojativos de Tenerife según lugar de residencia y municipio de alojamiento (hotel + apartamento) - año</v>
      </c>
    </row>
    <row r="40" spans="2:2" ht="15.75" x14ac:dyDescent="0.25">
      <c r="B40" s="10" t="s">
        <v>22</v>
      </c>
    </row>
    <row r="41" spans="2:2" ht="15.75" x14ac:dyDescent="0.25">
      <c r="B41" s="6" t="s">
        <v>220</v>
      </c>
    </row>
    <row r="42" spans="2:2" ht="15.75" x14ac:dyDescent="0.25">
      <c r="B42" s="6" t="s">
        <v>221</v>
      </c>
    </row>
    <row r="43" spans="2:2" ht="15.75" x14ac:dyDescent="0.25">
      <c r="B43" s="10" t="s">
        <v>23</v>
      </c>
    </row>
    <row r="44" spans="2:2" ht="15.75" x14ac:dyDescent="0.25">
      <c r="B44" s="6" t="s">
        <v>222</v>
      </c>
    </row>
    <row r="45" spans="2:2" ht="15.75" x14ac:dyDescent="0.25">
      <c r="B45" s="10" t="s">
        <v>24</v>
      </c>
    </row>
    <row r="46" spans="2:2" ht="31.5" x14ac:dyDescent="0.25">
      <c r="B46" s="11" t="s">
        <v>25</v>
      </c>
    </row>
    <row r="47" spans="2:2" ht="15.75" x14ac:dyDescent="0.25">
      <c r="B47" s="11" t="s">
        <v>26</v>
      </c>
    </row>
    <row r="48" spans="2:2" ht="15.75" x14ac:dyDescent="0.25">
      <c r="B48" s="11" t="s">
        <v>27</v>
      </c>
    </row>
    <row r="49" spans="2:2" ht="15.75" x14ac:dyDescent="0.25">
      <c r="B49" s="10" t="s">
        <v>28</v>
      </c>
    </row>
    <row r="50" spans="2:2" ht="15.75" x14ac:dyDescent="0.25">
      <c r="B50" s="6" t="s">
        <v>223</v>
      </c>
    </row>
    <row r="51" spans="2:2" ht="15.75" x14ac:dyDescent="0.25">
      <c r="B51" s="6" t="s">
        <v>224</v>
      </c>
    </row>
    <row r="52" spans="2:2" ht="15.75" x14ac:dyDescent="0.25">
      <c r="B52" s="6" t="s">
        <v>225</v>
      </c>
    </row>
    <row r="53" spans="2:2" ht="15.75" x14ac:dyDescent="0.25">
      <c r="B53" s="6" t="s">
        <v>226</v>
      </c>
    </row>
    <row r="54" spans="2:2" ht="15.75" x14ac:dyDescent="0.25">
      <c r="B54" s="6" t="s">
        <v>29</v>
      </c>
    </row>
    <row r="55" spans="2:2" ht="15.75" x14ac:dyDescent="0.25">
      <c r="B55" s="6" t="s">
        <v>30</v>
      </c>
    </row>
    <row r="56" spans="2:2" ht="15.75" x14ac:dyDescent="0.25">
      <c r="B56" s="6" t="s">
        <v>31</v>
      </c>
    </row>
  </sheetData>
  <hyperlinks>
    <hyperlink ref="B13" location="'Plazas aloj islas cat y tipolog'!A1" tooltip="Plazas alojativas Canarias e islas" display="Plazas alojativas Canarias e islas" xr:uid="{6D1EE2A6-91EC-4DDA-9E96-AE3AAB97FBF2}"/>
    <hyperlink ref="B19" location="'Viajeros entr evol mensu TF'!A1" tooltip="Evolución mensual de viajeros entrentrados en Tenerife según lugar de residencia" display="Evolución mensual de viajeros entrados en Tenerife según lugar de residencia" xr:uid="{0787C04F-7D4E-4ABF-9A7D-4C6B19B856E5}"/>
    <hyperlink ref="B14" location="'Establecim aloj islas cat y tip'!A1" tooltip="Establecimientos alojativos Canarias e islas" display="Establecimientos alojativos Canarias e islas" xr:uid="{928BD1FF-90F9-4E94-8CCC-2B942956A36C}"/>
    <hyperlink ref="B32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mes" xr:uid="{40E2BC86-14DE-4E66-8E4A-FD278056A8C2}"/>
    <hyperlink ref="B23" location="'Viajeros entr ti-cat ultimo mes'!A1" tooltip="Viajeros entrados en los establecimientos alojativos de Tenerife por municipio y categoría " display="Viajeros entrados en los establecimientos alojativos de Tenerife por municipio y categoría " xr:uid="{3C368316-BF04-4FDF-872C-EDF3EF4BD52B}"/>
    <hyperlink ref="B37" location="'Pernoctaciones lugar reside'!A1" tooltip="Pernoctaciones registradas en establecimientos alojativos de Canarias e islas según tipología y categoría" display="'Pernoctaciones lugar reside'!A1" xr:uid="{19FE3FB9-6DC2-4F5E-833E-546CE36F67B1}"/>
    <hyperlink ref="B8" location="'Resumen indicadores (aloj)'!A1" tooltip="Resumen indicadores Tenerife" display="'Resumen indicadores (aloj)'!A1" xr:uid="{18EC1896-265A-45CF-B94C-268C96DF65E3}"/>
    <hyperlink ref="B9" location="'Resumen indicadores municipios '!A1" tooltip="Resumen indicadores municipios Tenerife" display="Resumen indicadores municipios Tenerife" xr:uid="{B508324C-6BA2-4BCD-93B6-DF9779A1313F}"/>
    <hyperlink ref="B20" location="'Viajeros entr evol mensu TF cat'!A1" tooltip="Evolución mensual de viajeros entrentrados en Tenerife según lugar de residencia" display="'Viajeros entr evol mensu TF cat'!A1" xr:uid="{185A1F57-F8D7-4A5B-B81C-491B2F756F80}"/>
    <hyperlink ref="B21" location="'Viajeros entr evol anual TF cat'!A1" tooltip="Evolución mensual de viajeros entrentrados en Tenerife según lugar de residencia" display="'Viajeros entr evol anual TF cat'!A1" xr:uid="{0CDC3F75-56A3-4F9E-A9FC-31C046E9E99A}"/>
    <hyperlink ref="B33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acumulado" xr:uid="{ED5BB512-6163-45FA-8BD0-4A612C3CA30E}"/>
    <hyperlink ref="B24" location="'viaj entrados lugar resid años '!A1" tooltip="Viajeros entrados en los establecimientos alojativos de Tenerife según lugar de residencia y municipio de alojamiento" display="Viajeros entrados en los establecimientos alojativos de Tenerife según lugar de residencia y municipio de alojamiento - año" xr:uid="{9C317755-1F59-49A8-97A5-41F0523EB2C7}"/>
    <hyperlink ref="B25" location="'viaj entrados lugar residencia'!A1" tooltip="Viajeros entrados en los establecimientos alojativos de Tenerife según lugar de residencia y municipio de alojamiento" display="Viajeros entrados en los establecimientos alojativos de Tenerife según lugar de residencia y municipio de alojamiento - mes" xr:uid="{B3E95635-AE0F-4708-9E8B-BDB5C16C271B}"/>
    <hyperlink ref="B26" location="'viaj entrados lugar residen acu'!A1" tooltip="Viajeros entrados en los establecimientos alojativos de Tenerife según lugar de residencia y municipio de alojamiento" display="Viajeros entrados en los establecimientos alojativos de Tenerife según lugar de residencia y municipio de alojamiento - acumulado" xr:uid="{FF6B442C-52B7-4655-9535-B3E53B6A3459}"/>
    <hyperlink ref="B27:B28" location="'viaj entrados lugar residen acu'!A1" tooltip="Viajeros entrados en los establecimientos alojativos de según lugar de residencia y municipio de alojamiento" display="Viajeros entrados en los establecimientos alojativos de según lugar de residencia y municipio de alojamiento - acumulado" xr:uid="{E3996EDF-07F0-492C-A3CA-8B6BB5C7CBE3}"/>
    <hyperlink ref="B27" location="'viaj entrados lugar residen hot'!A1" tooltip="Viajeros entrados en los hoteles de Tenerife según lugar de residencia y municipio de alojamiento - acumulado" display="Viajeros entrados en los hoteles de Tenerife según lugar de residencia y municipio de alojamiento - acumulado" xr:uid="{3AB54342-9526-4446-BC6C-F22402550972}"/>
    <hyperlink ref="B29" location="'viaj entrados lugar residen cat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cumulado" xr:uid="{A3DD949A-ACE8-4E37-BE17-8E7C085604C7}"/>
    <hyperlink ref="B28" location="'viaj entrados lugar residen apt'!A1" tooltip="Viajeros entrados en los apartamentos de Tenerife según lugar de residencia y municipio de alojamiento" display="Viajeros entrados en los apartamentos de Tenerife según lugar de residencia y municipio de alojamiento - acumulado" xr:uid="{9C391926-1E6E-4AD3-97A8-41486F4640AA}"/>
    <hyperlink ref="B30" location="'viaj entr lugar res año categor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ño" xr:uid="{37D8F8D8-9CF0-4035-A677-4C857A997470}"/>
    <hyperlink ref="B50" location="'distribución españoles x Resid'!A1" tooltip="=CONCATENAR(&quot;Viajeros españoles entrados en los hoteles y apartamentos de &quot;;Actualizaciones!$B$3;&quot; según lugar de residencia&quot;)" display="=CONCATENAR(&quot;Viajeros españoles entrados en los hoteles y apartamentos de &quot;;Actualizaciones!$B$3;&quot; según lugar de residencia - acumulado&quot;)" xr:uid="{6F007489-3B65-4647-B876-900569602EA1}"/>
    <hyperlink ref="B22" location="'distribución españoles x mun al'!A1" tooltip="Viajeros peninsulares entrados en los hoteles y apartamentos de Tenerife por municipio de alojamiento" display="Viajeros peninsulares entrados en los hoteles y apartamentos de Tenerife por municipio de alojamiento - acumulado" xr:uid="{DF1EAE3B-39F1-4283-9BDD-C4F9ABB8D395}"/>
    <hyperlink ref="B53" location="'distribución canarias x munici'!A1" tooltip="=CONCATENAR(&quot;Viajeros canarios entrados en los hoteles y apartamentos de &quot;;Actualizaciones!$B$3;&quot; por tipología y categoría de alojamiento&quot;)" display="'distribución canarias x munici'!A1" xr:uid="{21138608-7791-45F9-99D0-9EA542F87D12}"/>
    <hyperlink ref="B35" location="'Pernoctaciones evol mensu TF'!A1" tooltip="Evolución mensual de pernoctaciones en Tenerife según lugar de residencia" display="'Pernoctaciones evol mensu TF'!A1" xr:uid="{67D9C805-9602-4169-A0B6-1F8C0DA2EF5E}"/>
    <hyperlink ref="B36" location="'Pernocta evol mensu TF cat'!A1" tooltip="Evolución mensual de pernoctaciones en Tenerife según lugar de residencia" display="'Pernocta evol mensu TF cat'!A1" xr:uid="{20AB10EE-0403-495E-8B84-9368CB67BD2D}"/>
    <hyperlink ref="B38" location="'Pernoctaciones lugar residen ac'!A1" tooltip="Pernoctaciones registradas en establecimientos alojativos de Canarias e islas según tipología y categoría" display="'Pernoctaciones lugar residen ac'!A1" xr:uid="{F3DE6485-0A56-41A3-9C57-3A73EA287F6C}"/>
    <hyperlink ref="B39" location="'Pernoctaciones lugar reside año'!A1" tooltip="Pernoctaciones registradas en establecimientos alojativos de Canarias e islas según tipología y categoría" display="'Pernoctaciones lugar reside año'!A1" xr:uid="{FA952401-B9E7-4FD1-82D7-4A010EDA82B8}"/>
    <hyperlink ref="B46" location="'ADR RevPAR ingresos totales ult'!A1" tooltip="Pernoctaciones registradas en establecimientos alojativos de Canarias e islas según tipología y categoría" display="Tarifa media diaria ADR por habitación en los establecimientos alojativos Tenerife por municipio  (hotel + apartamento) " xr:uid="{36D3823D-6F7D-495C-8241-E868679E15BC}"/>
    <hyperlink ref="B41" location="'EM evol menusual lugar resd'!A1" tooltip="Evolución mensual de estancia media en Tenerife según lugar de residencia" display="'EM evol menusual lugar resd'!A1" xr:uid="{B8540AFB-E846-4CA9-A6F2-E3D7C0724069}"/>
    <hyperlink ref="B42" location="'EM evol mensu TF cat '!A1" tooltip="Evolución mensual de estancia media en Tenerife según lugar de residencia" display="'EM evol mensu TF cat '!A1" xr:uid="{9962E65E-AA04-4DAB-AACA-47D5492C93BD}"/>
    <hyperlink ref="B44" location="'tasa de ocupación evol mens'!A1" tooltip="Evolución mensual de estancia media en Tenerife según lugar de residencia" display="'tasa de ocupación evol mens'!A1" xr:uid="{C33BF18E-6898-4973-849A-E74816FE1499}"/>
    <hyperlink ref="B52" location="'distribución peninsula x munici'!A1" tooltip="=CONCATENAR(&quot;Viajeros peninsulares entrados en los hoteles y apartamentos de &quot;;Actualizaciones!$B$3;&quot; por tipología y categoría de alojamiento&quot;)" display="'distribución peninsula x munici'!A1" xr:uid="{EAC6DDEF-5AA1-4D79-9FE3-D0F74BBB139C}"/>
    <hyperlink ref="B51" location="'distribución españoles x mun al'!A1" tooltip="=CONCATENAR(&quot;Viajeros españoles entrados en los hoteles y apartamentos de &quot;;Actualizaciones!$B$3;&quot; por tipología y categoría de alojamiento&quot;)" display="'distribución españoles x mun al'!A1" xr:uid="{F2129613-47F8-4096-A3BE-862F9F85136D}"/>
    <hyperlink ref="B54" location="'evolución anual viaj ent españo'!A1" tooltip="Viajeros españoles entrados en los hoteles y apartamentos de Tenerife por municipio de alojamiento" display="Viajeros españoles entrados en los hoteles y apartamentos de Tenerife por municipio de alojamiento" xr:uid="{6A0F6D29-827C-42B9-A22A-85A94B969840}"/>
    <hyperlink ref="B55" location="'evolución anual viaj ent penins'!A1" tooltip="Viajeros peninsulares entrados en los hoteles y apartamentos de Tenerife por municipio de alojamiento" display="Viajeros peninsulares entrados en los hoteles y apartamentos de Tenerife por municipio de alojamiento" xr:uid="{1517B411-683E-444E-A42D-F34890E48014}"/>
    <hyperlink ref="B56" location="'evolución anual viaj ent canari'!A1" tooltip="Viajeros canarios entrados en los hoteles y apartamentos de Tenerife por municipio de alojamiento" display="Viajeros canarios entrados en los hoteles y apartamentos de Tenerife por municipio de alojamiento" xr:uid="{B998AEF9-68EA-47E0-9C23-5503C3EFE855}"/>
    <hyperlink ref="B47" location="'ADR municipios'!A1" display="Tarifa media diaria (ADR) Tenerife y municipios" xr:uid="{168838F3-1F29-4E26-8F45-0424AC3FE566}"/>
    <hyperlink ref="B48" location="'RevPAR  municipios'!A1" display="Ingresos medios por habitación (RevPar) Tenerife y municipios" xr:uid="{C623EC00-AC99-4354-B97E-9458AD212CDA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9DCA0-D269-40D6-AC3C-4905E226AB69}">
  <sheetPr>
    <tabColor theme="7" tint="0.79998168889431442"/>
  </sheetPr>
  <dimension ref="A4:O114"/>
  <sheetViews>
    <sheetView showGridLines="0" topLeftCell="E1" zoomScaleNormal="100" workbookViewId="0">
      <selection activeCell="D5" sqref="D5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253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134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>E7-1</f>
        <v>2020</v>
      </c>
      <c r="D7" s="139"/>
      <c r="E7" s="140">
        <f t="shared" ref="E7" si="0">G7-1</f>
        <v>2021</v>
      </c>
      <c r="F7" s="139"/>
      <c r="G7" s="140">
        <f t="shared" ref="G7" si="1">I7-1</f>
        <v>2022</v>
      </c>
      <c r="H7" s="139"/>
      <c r="I7" s="140">
        <f t="shared" ref="I7" si="2"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",RIGHT(E7,2),"/",RIGHT(E7-1,2))</f>
        <v>var 21/20</v>
      </c>
      <c r="G8" s="144" t="s">
        <v>71</v>
      </c>
      <c r="H8" s="143" t="str">
        <f>CONCATENATE("var ",RIGHT(G7,2),"/",RIGHT(G7-1,2))</f>
        <v>var 22/21</v>
      </c>
      <c r="I8" s="144" t="s">
        <v>71</v>
      </c>
      <c r="J8" s="143" t="str">
        <f>CONCATENATE("var ",RIGHT(I7,2),"/",RIGHT(I7-1,2))</f>
        <v>var 23/22</v>
      </c>
      <c r="K8" s="144" t="s">
        <v>71</v>
      </c>
      <c r="L8" s="143" t="str">
        <f>CONCATENATE("var ",RIGHT(K7,2),"/",RIGHT(K7-1,2))</f>
        <v>var 24/23</v>
      </c>
      <c r="M8" s="144" t="s">
        <v>71</v>
      </c>
      <c r="N8" s="143" t="str">
        <f>CONCATENATE("var ",RIGHT(M7,2),"/",RIGHT(M7-1,2))</f>
        <v>var 25/24</v>
      </c>
    </row>
    <row r="9" spans="1:15" x14ac:dyDescent="0.25">
      <c r="A9" s="1" t="s">
        <v>72</v>
      </c>
      <c r="B9" s="145" t="s">
        <v>73</v>
      </c>
      <c r="C9" s="146">
        <v>5197</v>
      </c>
      <c r="D9" s="147">
        <v>0.10199321458863442</v>
      </c>
      <c r="E9" s="146">
        <v>1146</v>
      </c>
      <c r="F9" s="147">
        <f t="shared" ref="F9:L21" si="3">IFERROR(E9/C9-1,"-")</f>
        <v>-0.77948816624975947</v>
      </c>
      <c r="G9" s="146">
        <v>3527</v>
      </c>
      <c r="H9" s="147">
        <f t="shared" si="3"/>
        <v>2.0776614310645725</v>
      </c>
      <c r="I9" s="146">
        <v>5390</v>
      </c>
      <c r="J9" s="147">
        <f t="shared" si="3"/>
        <v>0.52821094414516589</v>
      </c>
      <c r="K9" s="146">
        <v>5217</v>
      </c>
      <c r="L9" s="147">
        <f t="shared" si="3"/>
        <v>-3.2096474953617782E-2</v>
      </c>
      <c r="M9" s="146">
        <v>5311</v>
      </c>
      <c r="N9" s="147">
        <f t="shared" ref="N9" si="4">IFERROR(M9/K9-1,"-")</f>
        <v>1.8018018018018056E-2</v>
      </c>
    </row>
    <row r="10" spans="1:15" x14ac:dyDescent="0.25">
      <c r="A10" s="1" t="s">
        <v>74</v>
      </c>
      <c r="B10" s="145" t="s">
        <v>75</v>
      </c>
      <c r="C10" s="146">
        <v>5359</v>
      </c>
      <c r="D10" s="147">
        <v>8.5916919959473148E-2</v>
      </c>
      <c r="E10" s="146">
        <v>1385</v>
      </c>
      <c r="F10" s="147">
        <f t="shared" si="3"/>
        <v>-0.74155626049636125</v>
      </c>
      <c r="G10" s="146">
        <v>4177</v>
      </c>
      <c r="H10" s="147">
        <f t="shared" si="3"/>
        <v>2.0158844765342958</v>
      </c>
      <c r="I10" s="146">
        <v>5270</v>
      </c>
      <c r="J10" s="147">
        <f t="shared" si="3"/>
        <v>0.2616710557816615</v>
      </c>
      <c r="K10" s="146">
        <v>4803</v>
      </c>
      <c r="L10" s="147">
        <f t="shared" si="3"/>
        <v>-8.861480075901329E-2</v>
      </c>
      <c r="M10" s="146">
        <v>4194</v>
      </c>
      <c r="N10" s="147">
        <f>IFERROR(M10/K10-1,"-")</f>
        <v>-0.12679575265459087</v>
      </c>
    </row>
    <row r="11" spans="1:15" x14ac:dyDescent="0.25">
      <c r="A11" s="1" t="s">
        <v>76</v>
      </c>
      <c r="B11" s="145" t="s">
        <v>77</v>
      </c>
      <c r="C11" s="146">
        <v>2198</v>
      </c>
      <c r="D11" s="147">
        <v>-0.57303807303807308</v>
      </c>
      <c r="E11" s="146">
        <v>2288</v>
      </c>
      <c r="F11" s="147">
        <f t="shared" si="3"/>
        <v>4.0946314831665109E-2</v>
      </c>
      <c r="G11" s="146">
        <v>4740</v>
      </c>
      <c r="H11" s="147">
        <f t="shared" si="3"/>
        <v>1.0716783216783217</v>
      </c>
      <c r="I11" s="146">
        <v>5659</v>
      </c>
      <c r="J11" s="147">
        <f t="shared" si="3"/>
        <v>0.19388185654008439</v>
      </c>
      <c r="K11" s="146">
        <v>5168</v>
      </c>
      <c r="L11" s="147">
        <f t="shared" si="3"/>
        <v>-8.6764446015197061E-2</v>
      </c>
      <c r="M11" s="146">
        <v>5342</v>
      </c>
      <c r="N11" s="147">
        <f>IFERROR(M11/K11-1,"-")</f>
        <v>3.3668730650154854E-2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1830</v>
      </c>
      <c r="F12" s="147" t="str">
        <f t="shared" si="3"/>
        <v>-</v>
      </c>
      <c r="G12" s="146">
        <v>4075</v>
      </c>
      <c r="H12" s="147">
        <f t="shared" si="3"/>
        <v>1.2267759562841531</v>
      </c>
      <c r="I12" s="146">
        <v>5170</v>
      </c>
      <c r="J12" s="147">
        <f t="shared" si="3"/>
        <v>0.26871165644171779</v>
      </c>
      <c r="K12" s="146">
        <v>5054</v>
      </c>
      <c r="L12" s="147">
        <f t="shared" si="3"/>
        <v>-2.2437137330754364E-2</v>
      </c>
      <c r="M12" s="146">
        <v>4308</v>
      </c>
      <c r="N12" s="147">
        <f>IFERROR(M12/K12-1,"-")</f>
        <v>-0.147605856747131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2659</v>
      </c>
      <c r="F13" s="147" t="str">
        <f t="shared" si="3"/>
        <v>-</v>
      </c>
      <c r="G13" s="146">
        <v>3632</v>
      </c>
      <c r="H13" s="147">
        <f t="shared" si="3"/>
        <v>0.365927040240692</v>
      </c>
      <c r="I13" s="146">
        <v>5013</v>
      </c>
      <c r="J13" s="147">
        <f t="shared" si="3"/>
        <v>0.38023127753303965</v>
      </c>
      <c r="K13" s="146">
        <v>4992</v>
      </c>
      <c r="L13" s="147">
        <f t="shared" si="3"/>
        <v>-4.1891083183722699E-3</v>
      </c>
      <c r="M13" s="146">
        <v>4998</v>
      </c>
      <c r="N13" s="147">
        <f>IFERROR(M13/K13-1,"-")</f>
        <v>1.2019230769231282E-3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2494</v>
      </c>
      <c r="F14" s="147" t="str">
        <f t="shared" si="3"/>
        <v>-</v>
      </c>
      <c r="G14" s="146">
        <v>4520</v>
      </c>
      <c r="H14" s="147">
        <f t="shared" si="3"/>
        <v>0.81234963913392133</v>
      </c>
      <c r="I14" s="146">
        <v>4181</v>
      </c>
      <c r="J14" s="147">
        <f t="shared" si="3"/>
        <v>-7.4999999999999956E-2</v>
      </c>
      <c r="K14" s="146">
        <v>3964</v>
      </c>
      <c r="L14" s="147">
        <f t="shared" si="3"/>
        <v>-5.1901458981104986E-2</v>
      </c>
      <c r="M14" s="146">
        <v>4119</v>
      </c>
      <c r="N14" s="147">
        <f t="shared" ref="N14:N18" si="5">IFERROR(M14/K14-1,"-")</f>
        <v>3.9101917255297769E-2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2428</v>
      </c>
      <c r="F15" s="147" t="str">
        <f t="shared" si="3"/>
        <v>-</v>
      </c>
      <c r="G15" s="146">
        <v>4275</v>
      </c>
      <c r="H15" s="147">
        <f t="shared" si="3"/>
        <v>0.76070840197693568</v>
      </c>
      <c r="I15" s="146">
        <v>4340</v>
      </c>
      <c r="J15" s="147">
        <f t="shared" si="3"/>
        <v>1.5204678362572999E-2</v>
      </c>
      <c r="K15" s="146">
        <v>4593</v>
      </c>
      <c r="L15" s="147">
        <f t="shared" si="3"/>
        <v>5.8294930875576023E-2</v>
      </c>
      <c r="M15" s="146">
        <v>3637</v>
      </c>
      <c r="N15" s="147">
        <f t="shared" si="5"/>
        <v>-0.20814282603962553</v>
      </c>
    </row>
    <row r="16" spans="1:15" x14ac:dyDescent="0.25">
      <c r="A16" s="1" t="s">
        <v>86</v>
      </c>
      <c r="B16" s="145" t="s">
        <v>87</v>
      </c>
      <c r="C16" s="146">
        <v>2777</v>
      </c>
      <c r="D16" s="147">
        <v>-0.34241060857210515</v>
      </c>
      <c r="E16" s="146">
        <v>2929</v>
      </c>
      <c r="F16" s="147">
        <f t="shared" si="3"/>
        <v>5.473532589124952E-2</v>
      </c>
      <c r="G16" s="146">
        <v>3932</v>
      </c>
      <c r="H16" s="147">
        <f t="shared" si="3"/>
        <v>0.34243769204506647</v>
      </c>
      <c r="I16" s="146">
        <v>4645</v>
      </c>
      <c r="J16" s="147">
        <f t="shared" si="3"/>
        <v>0.18133265513733465</v>
      </c>
      <c r="K16" s="146">
        <v>2899</v>
      </c>
      <c r="L16" s="147">
        <f t="shared" si="3"/>
        <v>-0.37588805166846073</v>
      </c>
      <c r="M16" s="146">
        <v>4117</v>
      </c>
      <c r="N16" s="147">
        <f t="shared" si="5"/>
        <v>0.42014487754398067</v>
      </c>
    </row>
    <row r="17" spans="1:15" x14ac:dyDescent="0.25">
      <c r="A17" s="1" t="s">
        <v>88</v>
      </c>
      <c r="B17" s="145" t="s">
        <v>89</v>
      </c>
      <c r="C17" s="146">
        <v>1764</v>
      </c>
      <c r="D17" s="147">
        <v>-0.54002607561929594</v>
      </c>
      <c r="E17" s="146">
        <v>3914</v>
      </c>
      <c r="F17" s="147">
        <f t="shared" si="3"/>
        <v>1.2188208616780045</v>
      </c>
      <c r="G17" s="146">
        <v>4578</v>
      </c>
      <c r="H17" s="147">
        <f t="shared" si="3"/>
        <v>0.16964741951967288</v>
      </c>
      <c r="I17" s="146">
        <v>4521</v>
      </c>
      <c r="J17" s="147">
        <f t="shared" si="3"/>
        <v>-1.2450851900393189E-2</v>
      </c>
      <c r="K17" s="146">
        <v>5087</v>
      </c>
      <c r="L17" s="147">
        <f t="shared" si="3"/>
        <v>0.12519354125193538</v>
      </c>
      <c r="M17" s="146">
        <v>4387</v>
      </c>
      <c r="N17" s="147">
        <f t="shared" si="5"/>
        <v>-0.13760566149007269</v>
      </c>
    </row>
    <row r="18" spans="1:15" x14ac:dyDescent="0.25">
      <c r="A18" s="1" t="s">
        <v>90</v>
      </c>
      <c r="B18" s="145" t="s">
        <v>91</v>
      </c>
      <c r="C18" s="146">
        <v>1764</v>
      </c>
      <c r="D18" s="147">
        <v>-0.62283515073765239</v>
      </c>
      <c r="E18" s="146">
        <v>3380</v>
      </c>
      <c r="F18" s="147">
        <f t="shared" si="3"/>
        <v>0.91609977324263037</v>
      </c>
      <c r="G18" s="146">
        <v>4025</v>
      </c>
      <c r="H18" s="147">
        <f t="shared" si="3"/>
        <v>0.19082840236686383</v>
      </c>
      <c r="I18" s="146">
        <v>4419</v>
      </c>
      <c r="J18" s="147">
        <f t="shared" si="3"/>
        <v>9.7888198757764E-2</v>
      </c>
      <c r="K18" s="146">
        <v>4919</v>
      </c>
      <c r="L18" s="147">
        <f t="shared" si="3"/>
        <v>0.11314777098891149</v>
      </c>
      <c r="M18" s="146">
        <v>5990</v>
      </c>
      <c r="N18" s="147">
        <f t="shared" si="5"/>
        <v>0.21772718032120353</v>
      </c>
    </row>
    <row r="19" spans="1:15" x14ac:dyDescent="0.25">
      <c r="A19" s="1" t="s">
        <v>92</v>
      </c>
      <c r="B19" s="145" t="s">
        <v>93</v>
      </c>
      <c r="C19" s="146">
        <v>1763</v>
      </c>
      <c r="D19" s="147">
        <v>-0.70714285714285707</v>
      </c>
      <c r="E19" s="146">
        <v>4448</v>
      </c>
      <c r="F19" s="147">
        <f t="shared" si="3"/>
        <v>1.5229722064662505</v>
      </c>
      <c r="G19" s="146">
        <v>4838</v>
      </c>
      <c r="H19" s="147">
        <f t="shared" si="3"/>
        <v>8.7679856115107979E-2</v>
      </c>
      <c r="I19" s="146">
        <v>4964</v>
      </c>
      <c r="J19" s="147">
        <f t="shared" si="3"/>
        <v>2.6043819760231512E-2</v>
      </c>
      <c r="K19" s="146">
        <v>5464</v>
      </c>
      <c r="L19" s="147">
        <f t="shared" si="3"/>
        <v>0.10072522159548747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1794</v>
      </c>
      <c r="D20" s="147">
        <v>-0.6889197156233744</v>
      </c>
      <c r="E20" s="146">
        <v>4543</v>
      </c>
      <c r="F20" s="147">
        <f t="shared" si="3"/>
        <v>1.5323299888517279</v>
      </c>
      <c r="G20" s="146">
        <v>5166</v>
      </c>
      <c r="H20" s="147">
        <f t="shared" si="3"/>
        <v>0.13713405238828957</v>
      </c>
      <c r="I20" s="146">
        <v>4585</v>
      </c>
      <c r="J20" s="147">
        <f t="shared" si="3"/>
        <v>-0.11246612466124661</v>
      </c>
      <c r="K20" s="146">
        <v>5228</v>
      </c>
      <c r="L20" s="147">
        <f t="shared" si="3"/>
        <v>0.14023991275899683</v>
      </c>
      <c r="M20" s="146"/>
      <c r="N20" s="147"/>
    </row>
    <row r="21" spans="1:15" ht="15.75" x14ac:dyDescent="0.25">
      <c r="A21" s="1" t="s">
        <v>0</v>
      </c>
      <c r="B21" s="148" t="s">
        <v>32</v>
      </c>
      <c r="C21" s="149">
        <v>24221</v>
      </c>
      <c r="D21" s="150">
        <v>-0.56660761894537193</v>
      </c>
      <c r="E21" s="149">
        <v>33444</v>
      </c>
      <c r="F21" s="150">
        <f t="shared" si="3"/>
        <v>0.38078526898146237</v>
      </c>
      <c r="G21" s="149">
        <v>51485</v>
      </c>
      <c r="H21" s="150">
        <f t="shared" si="3"/>
        <v>0.53943906231312044</v>
      </c>
      <c r="I21" s="149">
        <v>58157</v>
      </c>
      <c r="J21" s="150">
        <f t="shared" si="3"/>
        <v>0.12959114305137409</v>
      </c>
      <c r="K21" s="149">
        <v>57388</v>
      </c>
      <c r="L21" s="150">
        <f t="shared" si="3"/>
        <v>-1.3222827862510056E-2</v>
      </c>
      <c r="M21" s="149">
        <v>46403</v>
      </c>
      <c r="N21" s="150">
        <v>-6.2746273770772909E-3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46"/>
      <c r="N23" s="131"/>
    </row>
    <row r="24" spans="1:15" x14ac:dyDescent="0.25">
      <c r="K24" s="151"/>
      <c r="N24" s="103"/>
    </row>
    <row r="26" spans="1:15" ht="48.75" customHeight="1" thickBot="1" x14ac:dyDescent="0.3">
      <c r="B26" s="12" t="s">
        <v>254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139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E29-1</f>
        <v>2020</v>
      </c>
      <c r="D29" s="139"/>
      <c r="E29" s="140">
        <f t="shared" ref="E29" si="6">G29-1</f>
        <v>2021</v>
      </c>
      <c r="F29" s="139"/>
      <c r="G29" s="140">
        <f t="shared" ref="G29" si="7">I29-1</f>
        <v>2022</v>
      </c>
      <c r="H29" s="139"/>
      <c r="I29" s="140">
        <f t="shared" ref="I29" si="8">K29-1</f>
        <v>2023</v>
      </c>
      <c r="J29" s="139"/>
      <c r="K29" s="140">
        <f>M29-1</f>
        <v>2024</v>
      </c>
      <c r="L29" s="139"/>
      <c r="M29" s="140"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",RIGHT(E29,2),"/",RIGHT(E29-1,2))</f>
        <v>var 21/20</v>
      </c>
      <c r="G30" s="144" t="s">
        <v>71</v>
      </c>
      <c r="H30" s="143" t="str">
        <f>CONCATENATE("var ",RIGHT(G29,2),"/",RIGHT(G29-1,2))</f>
        <v>var 22/21</v>
      </c>
      <c r="I30" s="144" t="s">
        <v>71</v>
      </c>
      <c r="J30" s="143" t="str">
        <f>CONCATENATE("var ",RIGHT(I29,2),"/",RIGHT(I29-1,2))</f>
        <v>var 23/22</v>
      </c>
      <c r="K30" s="144" t="s">
        <v>71</v>
      </c>
      <c r="L30" s="143" t="str">
        <f>CONCATENATE("var ",RIGHT(K29,2),"/",RIGHT(K29-1,2))</f>
        <v>var 24/23</v>
      </c>
      <c r="M30" s="144" t="s">
        <v>71</v>
      </c>
      <c r="N30" s="143" t="str">
        <f>CONCATENATE("var ",RIGHT(M29,2),"/",RIGHT(M29-1,2))</f>
        <v>var 25/24</v>
      </c>
    </row>
    <row r="31" spans="1:15" x14ac:dyDescent="0.25">
      <c r="B31" s="145" t="s">
        <v>73</v>
      </c>
      <c r="C31" s="146">
        <v>5197</v>
      </c>
      <c r="D31" s="147">
        <v>0.10199321458863442</v>
      </c>
      <c r="E31" s="146">
        <v>1146</v>
      </c>
      <c r="F31" s="147">
        <f t="shared" ref="F31:L43" si="9">IFERROR(E31/C31-1,"-")</f>
        <v>-0.77948816624975947</v>
      </c>
      <c r="G31" s="146">
        <v>3527</v>
      </c>
      <c r="H31" s="147">
        <f t="shared" si="9"/>
        <v>2.0776614310645725</v>
      </c>
      <c r="I31" s="146">
        <v>5390</v>
      </c>
      <c r="J31" s="147">
        <f t="shared" si="9"/>
        <v>0.52821094414516589</v>
      </c>
      <c r="K31" s="146">
        <v>5217</v>
      </c>
      <c r="L31" s="147">
        <f t="shared" si="9"/>
        <v>-3.2096474953617782E-2</v>
      </c>
      <c r="M31" s="146">
        <v>5311</v>
      </c>
      <c r="N31" s="147">
        <f t="shared" ref="N31:N40" si="10">IFERROR(M31/K31-1,"-")</f>
        <v>1.8018018018018056E-2</v>
      </c>
    </row>
    <row r="32" spans="1:15" x14ac:dyDescent="0.25">
      <c r="B32" s="145" t="s">
        <v>75</v>
      </c>
      <c r="C32" s="146">
        <v>5359</v>
      </c>
      <c r="D32" s="147">
        <v>8.5916919959473148E-2</v>
      </c>
      <c r="E32" s="146">
        <v>1385</v>
      </c>
      <c r="F32" s="147">
        <f t="shared" si="9"/>
        <v>-0.74155626049636125</v>
      </c>
      <c r="G32" s="146">
        <v>4177</v>
      </c>
      <c r="H32" s="147">
        <f t="shared" si="9"/>
        <v>2.0158844765342958</v>
      </c>
      <c r="I32" s="146">
        <v>5270</v>
      </c>
      <c r="J32" s="147">
        <f t="shared" si="9"/>
        <v>0.2616710557816615</v>
      </c>
      <c r="K32" s="146">
        <v>4803</v>
      </c>
      <c r="L32" s="147">
        <f t="shared" si="9"/>
        <v>-8.861480075901329E-2</v>
      </c>
      <c r="M32" s="146">
        <v>4194</v>
      </c>
      <c r="N32" s="147">
        <f t="shared" si="10"/>
        <v>-0.12679575265459087</v>
      </c>
    </row>
    <row r="33" spans="2:15" x14ac:dyDescent="0.25">
      <c r="B33" s="145" t="s">
        <v>77</v>
      </c>
      <c r="C33" s="146">
        <v>2198</v>
      </c>
      <c r="D33" s="147">
        <v>-0.57303807303807308</v>
      </c>
      <c r="E33" s="146">
        <v>2288</v>
      </c>
      <c r="F33" s="147">
        <f t="shared" si="9"/>
        <v>4.0946314831665109E-2</v>
      </c>
      <c r="G33" s="146">
        <v>4740</v>
      </c>
      <c r="H33" s="147">
        <f t="shared" si="9"/>
        <v>1.0716783216783217</v>
      </c>
      <c r="I33" s="146">
        <v>5659</v>
      </c>
      <c r="J33" s="147">
        <f t="shared" si="9"/>
        <v>0.19388185654008439</v>
      </c>
      <c r="K33" s="146">
        <v>5168</v>
      </c>
      <c r="L33" s="147">
        <f t="shared" si="9"/>
        <v>-8.6764446015197061E-2</v>
      </c>
      <c r="M33" s="146">
        <v>5342</v>
      </c>
      <c r="N33" s="147">
        <f t="shared" si="10"/>
        <v>3.3668730650154854E-2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1830</v>
      </c>
      <c r="F34" s="147" t="str">
        <f t="shared" si="9"/>
        <v>-</v>
      </c>
      <c r="G34" s="146">
        <v>4075</v>
      </c>
      <c r="H34" s="147">
        <f t="shared" si="9"/>
        <v>1.2267759562841531</v>
      </c>
      <c r="I34" s="146">
        <v>5170</v>
      </c>
      <c r="J34" s="147">
        <f t="shared" si="9"/>
        <v>0.26871165644171779</v>
      </c>
      <c r="K34" s="146">
        <v>5054</v>
      </c>
      <c r="L34" s="147">
        <f t="shared" si="9"/>
        <v>-2.2437137330754364E-2</v>
      </c>
      <c r="M34" s="146">
        <v>4308</v>
      </c>
      <c r="N34" s="147">
        <f t="shared" si="10"/>
        <v>-0.147605856747131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2659</v>
      </c>
      <c r="F35" s="147" t="str">
        <f t="shared" si="9"/>
        <v>-</v>
      </c>
      <c r="G35" s="146">
        <v>3632</v>
      </c>
      <c r="H35" s="147">
        <f t="shared" si="9"/>
        <v>0.365927040240692</v>
      </c>
      <c r="I35" s="146">
        <v>5013</v>
      </c>
      <c r="J35" s="147">
        <f t="shared" si="9"/>
        <v>0.38023127753303965</v>
      </c>
      <c r="K35" s="146">
        <v>4992</v>
      </c>
      <c r="L35" s="147">
        <f t="shared" si="9"/>
        <v>-4.1891083183722699E-3</v>
      </c>
      <c r="M35" s="146">
        <v>4998</v>
      </c>
      <c r="N35" s="147">
        <f t="shared" si="10"/>
        <v>1.2019230769231282E-3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2494</v>
      </c>
      <c r="F36" s="147" t="str">
        <f t="shared" si="9"/>
        <v>-</v>
      </c>
      <c r="G36" s="146">
        <v>4520</v>
      </c>
      <c r="H36" s="147">
        <f t="shared" si="9"/>
        <v>0.81234963913392133</v>
      </c>
      <c r="I36" s="146">
        <v>4181</v>
      </c>
      <c r="J36" s="147">
        <f t="shared" si="9"/>
        <v>-7.4999999999999956E-2</v>
      </c>
      <c r="K36" s="146">
        <v>3964</v>
      </c>
      <c r="L36" s="147">
        <f t="shared" si="9"/>
        <v>-5.1901458981104986E-2</v>
      </c>
      <c r="M36" s="146">
        <v>4119</v>
      </c>
      <c r="N36" s="147">
        <f t="shared" si="10"/>
        <v>3.9101917255297769E-2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2428</v>
      </c>
      <c r="F37" s="147" t="str">
        <f t="shared" si="9"/>
        <v>-</v>
      </c>
      <c r="G37" s="146">
        <v>4275</v>
      </c>
      <c r="H37" s="147">
        <f t="shared" si="9"/>
        <v>0.76070840197693568</v>
      </c>
      <c r="I37" s="146">
        <v>4340</v>
      </c>
      <c r="J37" s="147">
        <f t="shared" si="9"/>
        <v>1.5204678362572999E-2</v>
      </c>
      <c r="K37" s="146">
        <v>4593</v>
      </c>
      <c r="L37" s="147">
        <f t="shared" si="9"/>
        <v>5.8294930875576023E-2</v>
      </c>
      <c r="M37" s="146">
        <v>3637</v>
      </c>
      <c r="N37" s="147">
        <f t="shared" si="10"/>
        <v>-0.20814282603962553</v>
      </c>
    </row>
    <row r="38" spans="2:15" x14ac:dyDescent="0.25">
      <c r="B38" s="145" t="s">
        <v>87</v>
      </c>
      <c r="C38" s="146">
        <v>2777</v>
      </c>
      <c r="D38" s="147">
        <v>-0.34241060857210515</v>
      </c>
      <c r="E38" s="146">
        <v>2929</v>
      </c>
      <c r="F38" s="147">
        <f t="shared" si="9"/>
        <v>5.473532589124952E-2</v>
      </c>
      <c r="G38" s="146">
        <v>3932</v>
      </c>
      <c r="H38" s="147">
        <f t="shared" si="9"/>
        <v>0.34243769204506647</v>
      </c>
      <c r="I38" s="146">
        <v>4645</v>
      </c>
      <c r="J38" s="147">
        <f t="shared" si="9"/>
        <v>0.18133265513733465</v>
      </c>
      <c r="K38" s="146">
        <v>2899</v>
      </c>
      <c r="L38" s="147">
        <f t="shared" si="9"/>
        <v>-0.37588805166846073</v>
      </c>
      <c r="M38" s="146">
        <v>4117</v>
      </c>
      <c r="N38" s="147">
        <f t="shared" si="10"/>
        <v>0.42014487754398067</v>
      </c>
    </row>
    <row r="39" spans="2:15" x14ac:dyDescent="0.25">
      <c r="B39" s="145" t="s">
        <v>89</v>
      </c>
      <c r="C39" s="146">
        <v>1764</v>
      </c>
      <c r="D39" s="147">
        <v>-0.54002607561929594</v>
      </c>
      <c r="E39" s="146">
        <v>3914</v>
      </c>
      <c r="F39" s="147">
        <f t="shared" si="9"/>
        <v>1.2188208616780045</v>
      </c>
      <c r="G39" s="146">
        <v>4578</v>
      </c>
      <c r="H39" s="147">
        <f t="shared" si="9"/>
        <v>0.16964741951967288</v>
      </c>
      <c r="I39" s="146">
        <v>4521</v>
      </c>
      <c r="J39" s="147">
        <f t="shared" si="9"/>
        <v>-1.2450851900393189E-2</v>
      </c>
      <c r="K39" s="146">
        <v>5087</v>
      </c>
      <c r="L39" s="147">
        <f t="shared" si="9"/>
        <v>0.12519354125193538</v>
      </c>
      <c r="M39" s="146">
        <v>4387</v>
      </c>
      <c r="N39" s="147">
        <f t="shared" si="10"/>
        <v>-0.13760566149007269</v>
      </c>
    </row>
    <row r="40" spans="2:15" x14ac:dyDescent="0.25">
      <c r="B40" s="145" t="s">
        <v>91</v>
      </c>
      <c r="C40" s="146">
        <v>1764</v>
      </c>
      <c r="D40" s="147">
        <v>-0.62283515073765239</v>
      </c>
      <c r="E40" s="146">
        <v>3380</v>
      </c>
      <c r="F40" s="147">
        <f t="shared" si="9"/>
        <v>0.91609977324263037</v>
      </c>
      <c r="G40" s="146">
        <v>4025</v>
      </c>
      <c r="H40" s="147">
        <f t="shared" si="9"/>
        <v>0.19082840236686383</v>
      </c>
      <c r="I40" s="146">
        <v>4419</v>
      </c>
      <c r="J40" s="147">
        <f t="shared" si="9"/>
        <v>9.7888198757764E-2</v>
      </c>
      <c r="K40" s="146">
        <v>4919</v>
      </c>
      <c r="L40" s="147">
        <f t="shared" si="9"/>
        <v>0.11314777098891149</v>
      </c>
      <c r="M40" s="146">
        <v>5990</v>
      </c>
      <c r="N40" s="147">
        <f t="shared" si="10"/>
        <v>0.21772718032120353</v>
      </c>
    </row>
    <row r="41" spans="2:15" x14ac:dyDescent="0.25">
      <c r="B41" s="145" t="s">
        <v>93</v>
      </c>
      <c r="C41" s="146">
        <v>1763</v>
      </c>
      <c r="D41" s="147">
        <v>-0.70714285714285707</v>
      </c>
      <c r="E41" s="146">
        <v>4448</v>
      </c>
      <c r="F41" s="147">
        <f t="shared" si="9"/>
        <v>1.5229722064662505</v>
      </c>
      <c r="G41" s="146">
        <v>4838</v>
      </c>
      <c r="H41" s="147">
        <f t="shared" si="9"/>
        <v>8.7679856115107979E-2</v>
      </c>
      <c r="I41" s="146">
        <v>4964</v>
      </c>
      <c r="J41" s="147">
        <f t="shared" si="9"/>
        <v>2.6043819760231512E-2</v>
      </c>
      <c r="K41" s="146">
        <v>5464</v>
      </c>
      <c r="L41" s="147">
        <f t="shared" si="9"/>
        <v>0.10072522159548747</v>
      </c>
      <c r="M41" s="146"/>
      <c r="N41" s="147"/>
    </row>
    <row r="42" spans="2:15" x14ac:dyDescent="0.25">
      <c r="B42" s="145" t="s">
        <v>95</v>
      </c>
      <c r="C42" s="146">
        <v>1794</v>
      </c>
      <c r="D42" s="147">
        <v>-0.6889197156233744</v>
      </c>
      <c r="E42" s="146">
        <v>4543</v>
      </c>
      <c r="F42" s="147">
        <f t="shared" si="9"/>
        <v>1.5323299888517279</v>
      </c>
      <c r="G42" s="146">
        <v>5166</v>
      </c>
      <c r="H42" s="147">
        <f t="shared" si="9"/>
        <v>0.13713405238828957</v>
      </c>
      <c r="I42" s="146">
        <v>4585</v>
      </c>
      <c r="J42" s="147">
        <f t="shared" si="9"/>
        <v>-0.11246612466124661</v>
      </c>
      <c r="K42" s="146">
        <v>5228</v>
      </c>
      <c r="L42" s="147">
        <f t="shared" si="9"/>
        <v>0.14023991275899683</v>
      </c>
      <c r="M42" s="146"/>
      <c r="N42" s="147"/>
    </row>
    <row r="43" spans="2:15" ht="15.75" x14ac:dyDescent="0.25">
      <c r="B43" s="148" t="s">
        <v>32</v>
      </c>
      <c r="C43" s="149">
        <v>24221</v>
      </c>
      <c r="D43" s="150">
        <v>-0.56660761894537193</v>
      </c>
      <c r="E43" s="149">
        <v>33444</v>
      </c>
      <c r="F43" s="150">
        <f t="shared" si="9"/>
        <v>0.38078526898146237</v>
      </c>
      <c r="G43" s="149">
        <v>51485</v>
      </c>
      <c r="H43" s="150">
        <f t="shared" si="9"/>
        <v>0.53943906231312044</v>
      </c>
      <c r="I43" s="149">
        <v>58157</v>
      </c>
      <c r="J43" s="150">
        <f t="shared" si="9"/>
        <v>0.12959114305137409</v>
      </c>
      <c r="K43" s="149">
        <v>57388</v>
      </c>
      <c r="L43" s="150">
        <f t="shared" si="9"/>
        <v>-1.3222827862510056E-2</v>
      </c>
      <c r="M43" s="149">
        <v>46403</v>
      </c>
      <c r="N43" s="150">
        <v>-6.2746273770772909E-3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K46" s="103"/>
    </row>
    <row r="48" spans="2:15" ht="48.75" customHeight="1" thickBot="1" x14ac:dyDescent="0.3">
      <c r="B48" s="12" t="s">
        <v>255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63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E51-1</f>
        <v>2020</v>
      </c>
      <c r="D51" s="139"/>
      <c r="E51" s="140">
        <f t="shared" ref="E51" si="11">G51-1</f>
        <v>2021</v>
      </c>
      <c r="F51" s="139"/>
      <c r="G51" s="140">
        <f t="shared" ref="G51" si="12">I51-1</f>
        <v>2022</v>
      </c>
      <c r="H51" s="139"/>
      <c r="I51" s="140">
        <f t="shared" ref="I51" si="13">K51-1</f>
        <v>2023</v>
      </c>
      <c r="J51" s="139"/>
      <c r="K51" s="140">
        <f>M51-1</f>
        <v>2024</v>
      </c>
      <c r="L51" s="139"/>
      <c r="M51" s="140"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",RIGHT(E51,2),"/",RIGHT(E51-1,2))</f>
        <v>var 21/20</v>
      </c>
      <c r="G52" s="144" t="s">
        <v>71</v>
      </c>
      <c r="H52" s="143" t="str">
        <f>CONCATENATE("var ",RIGHT(G51,2),"/",RIGHT(G51-1,2))</f>
        <v>var 22/21</v>
      </c>
      <c r="I52" s="144" t="s">
        <v>71</v>
      </c>
      <c r="J52" s="143" t="str">
        <f>CONCATENATE("var ",RIGHT(I51,2),"/",RIGHT(I51-1,2))</f>
        <v>var 23/22</v>
      </c>
      <c r="K52" s="144" t="s">
        <v>71</v>
      </c>
      <c r="L52" s="143" t="str">
        <f>CONCATENATE("var ",RIGHT(K51,2),"/",RIGHT(K51-1,2))</f>
        <v>var 24/23</v>
      </c>
      <c r="M52" s="144" t="s">
        <v>71</v>
      </c>
      <c r="N52" s="143" t="str">
        <f>CONCATENATE("var ",RIGHT(M51,2),"/",RIGHT(M51-1,2))</f>
        <v>var 25/24</v>
      </c>
    </row>
    <row r="53" spans="1:15" x14ac:dyDescent="0.25">
      <c r="A53" s="1">
        <v>1</v>
      </c>
      <c r="B53" s="145" t="s">
        <v>73</v>
      </c>
      <c r="C53" s="146">
        <v>3703</v>
      </c>
      <c r="D53" s="147">
        <v>1.0368349249658904E-2</v>
      </c>
      <c r="E53" s="146">
        <v>0</v>
      </c>
      <c r="F53" s="147">
        <f t="shared" ref="F53:L65" si="14">IFERROR(E53/C53-1,"-")</f>
        <v>-1</v>
      </c>
      <c r="G53" s="146">
        <v>0</v>
      </c>
      <c r="H53" s="147" t="str">
        <f t="shared" si="14"/>
        <v>-</v>
      </c>
      <c r="I53" s="146">
        <v>4641</v>
      </c>
      <c r="J53" s="147" t="str">
        <f t="shared" si="14"/>
        <v>-</v>
      </c>
      <c r="K53" s="146">
        <v>4486</v>
      </c>
      <c r="L53" s="147">
        <f t="shared" si="14"/>
        <v>-3.3397974574445155E-2</v>
      </c>
      <c r="M53" s="146">
        <v>4485</v>
      </c>
      <c r="N53" s="147">
        <f t="shared" ref="N53:N62" si="15">IFERROR(M53/K53-1,"-")</f>
        <v>-2.2291573785104823E-4</v>
      </c>
    </row>
    <row r="54" spans="1:15" x14ac:dyDescent="0.25">
      <c r="A54" s="1">
        <v>2</v>
      </c>
      <c r="B54" s="145" t="s">
        <v>75</v>
      </c>
      <c r="C54" s="146">
        <v>3601</v>
      </c>
      <c r="D54" s="147">
        <v>-5.4607508532423243E-2</v>
      </c>
      <c r="E54" s="146">
        <v>0</v>
      </c>
      <c r="F54" s="147">
        <f t="shared" si="14"/>
        <v>-1</v>
      </c>
      <c r="G54" s="146">
        <v>0</v>
      </c>
      <c r="H54" s="147" t="str">
        <f t="shared" si="14"/>
        <v>-</v>
      </c>
      <c r="I54" s="146">
        <v>4493</v>
      </c>
      <c r="J54" s="147" t="str">
        <f t="shared" si="14"/>
        <v>-</v>
      </c>
      <c r="K54" s="146">
        <v>4023</v>
      </c>
      <c r="L54" s="147">
        <f t="shared" si="14"/>
        <v>-0.10460716670376136</v>
      </c>
      <c r="M54" s="146">
        <v>3377</v>
      </c>
      <c r="N54" s="147">
        <f t="shared" si="15"/>
        <v>-0.16057668406661696</v>
      </c>
    </row>
    <row r="55" spans="1:15" x14ac:dyDescent="0.25">
      <c r="A55" s="1">
        <v>3</v>
      </c>
      <c r="B55" s="145" t="s">
        <v>77</v>
      </c>
      <c r="C55" s="146">
        <v>1389</v>
      </c>
      <c r="D55" s="147">
        <v>-0.62821199143468953</v>
      </c>
      <c r="E55" s="146">
        <v>0</v>
      </c>
      <c r="F55" s="147">
        <f t="shared" si="14"/>
        <v>-1</v>
      </c>
      <c r="G55" s="146">
        <v>0</v>
      </c>
      <c r="H55" s="147" t="str">
        <f t="shared" si="14"/>
        <v>-</v>
      </c>
      <c r="I55" s="146">
        <v>4830</v>
      </c>
      <c r="J55" s="147" t="str">
        <f t="shared" si="14"/>
        <v>-</v>
      </c>
      <c r="K55" s="146">
        <v>4388</v>
      </c>
      <c r="L55" s="147">
        <f t="shared" si="14"/>
        <v>-9.1511387163561109E-2</v>
      </c>
      <c r="M55" s="146">
        <v>4503</v>
      </c>
      <c r="N55" s="147">
        <f t="shared" si="15"/>
        <v>2.6207839562442992E-2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0</v>
      </c>
      <c r="F56" s="147" t="str">
        <f t="shared" si="14"/>
        <v>-</v>
      </c>
      <c r="G56" s="146">
        <v>3637</v>
      </c>
      <c r="H56" s="147" t="str">
        <f t="shared" si="14"/>
        <v>-</v>
      </c>
      <c r="I56" s="146">
        <v>4467</v>
      </c>
      <c r="J56" s="147">
        <f t="shared" si="14"/>
        <v>0.22821006323893323</v>
      </c>
      <c r="K56" s="146">
        <v>4407</v>
      </c>
      <c r="L56" s="147">
        <f t="shared" si="14"/>
        <v>-1.3431833445265329E-2</v>
      </c>
      <c r="M56" s="146">
        <v>3648</v>
      </c>
      <c r="N56" s="147">
        <f t="shared" si="15"/>
        <v>-0.17222600408441113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0</v>
      </c>
      <c r="F57" s="147" t="str">
        <f t="shared" si="14"/>
        <v>-</v>
      </c>
      <c r="G57" s="146">
        <v>3101</v>
      </c>
      <c r="H57" s="147" t="str">
        <f t="shared" si="14"/>
        <v>-</v>
      </c>
      <c r="I57" s="146">
        <v>4524</v>
      </c>
      <c r="J57" s="147">
        <f t="shared" si="14"/>
        <v>0.45888423089326014</v>
      </c>
      <c r="K57" s="146">
        <v>4496</v>
      </c>
      <c r="L57" s="147">
        <f t="shared" si="14"/>
        <v>-6.1892130857648109E-3</v>
      </c>
      <c r="M57" s="146">
        <v>4275</v>
      </c>
      <c r="N57" s="147">
        <f t="shared" si="15"/>
        <v>-4.9154804270462593E-2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0</v>
      </c>
      <c r="F58" s="147" t="str">
        <f t="shared" si="14"/>
        <v>-</v>
      </c>
      <c r="G58" s="146">
        <v>4107</v>
      </c>
      <c r="H58" s="147" t="str">
        <f t="shared" si="14"/>
        <v>-</v>
      </c>
      <c r="I58" s="146">
        <v>3719</v>
      </c>
      <c r="J58" s="147">
        <f t="shared" si="14"/>
        <v>-9.4472851229608024E-2</v>
      </c>
      <c r="K58" s="146">
        <v>3480</v>
      </c>
      <c r="L58" s="147">
        <f t="shared" si="14"/>
        <v>-6.426458725463835E-2</v>
      </c>
      <c r="M58" s="146">
        <v>3490</v>
      </c>
      <c r="N58" s="147">
        <f t="shared" si="15"/>
        <v>2.8735632183907178E-3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0</v>
      </c>
      <c r="F59" s="147" t="str">
        <f t="shared" si="14"/>
        <v>-</v>
      </c>
      <c r="G59" s="146">
        <v>3890</v>
      </c>
      <c r="H59" s="147" t="str">
        <f t="shared" si="14"/>
        <v>-</v>
      </c>
      <c r="I59" s="146">
        <v>0</v>
      </c>
      <c r="J59" s="147">
        <f t="shared" si="14"/>
        <v>-1</v>
      </c>
      <c r="K59" s="146">
        <v>3932</v>
      </c>
      <c r="L59" s="147" t="str">
        <f t="shared" si="14"/>
        <v>-</v>
      </c>
      <c r="M59" s="146">
        <v>3156</v>
      </c>
      <c r="N59" s="147">
        <f t="shared" si="15"/>
        <v>-0.19735503560528989</v>
      </c>
    </row>
    <row r="60" spans="1:15" x14ac:dyDescent="0.25">
      <c r="A60" s="1">
        <v>8</v>
      </c>
      <c r="B60" s="145" t="s">
        <v>87</v>
      </c>
      <c r="C60" s="146">
        <v>0</v>
      </c>
      <c r="D60" s="147">
        <v>-1</v>
      </c>
      <c r="E60" s="146">
        <v>0</v>
      </c>
      <c r="F60" s="147" t="str">
        <f t="shared" si="14"/>
        <v>-</v>
      </c>
      <c r="G60" s="146">
        <v>3368</v>
      </c>
      <c r="H60" s="147" t="str">
        <f t="shared" si="14"/>
        <v>-</v>
      </c>
      <c r="I60" s="146">
        <v>0</v>
      </c>
      <c r="J60" s="147">
        <f t="shared" si="14"/>
        <v>-1</v>
      </c>
      <c r="K60" s="146">
        <v>2669</v>
      </c>
      <c r="L60" s="147" t="str">
        <f t="shared" si="14"/>
        <v>-</v>
      </c>
      <c r="M60" s="146">
        <v>3769</v>
      </c>
      <c r="N60" s="147">
        <f t="shared" si="15"/>
        <v>0.4121393780442113</v>
      </c>
    </row>
    <row r="61" spans="1:15" x14ac:dyDescent="0.25">
      <c r="A61" s="1">
        <v>9</v>
      </c>
      <c r="B61" s="145" t="s">
        <v>89</v>
      </c>
      <c r="C61" s="146">
        <v>0</v>
      </c>
      <c r="D61" s="147">
        <v>-1</v>
      </c>
      <c r="E61" s="146">
        <v>0</v>
      </c>
      <c r="F61" s="147" t="str">
        <f t="shared" si="14"/>
        <v>-</v>
      </c>
      <c r="G61" s="146">
        <v>4017</v>
      </c>
      <c r="H61" s="147" t="str">
        <f t="shared" si="14"/>
        <v>-</v>
      </c>
      <c r="I61" s="146">
        <v>4039</v>
      </c>
      <c r="J61" s="147">
        <f t="shared" si="14"/>
        <v>5.4767239233257659E-3</v>
      </c>
      <c r="K61" s="146">
        <v>4491</v>
      </c>
      <c r="L61" s="147">
        <f t="shared" si="14"/>
        <v>0.11190888833869761</v>
      </c>
      <c r="M61" s="146">
        <v>3777</v>
      </c>
      <c r="N61" s="147">
        <f t="shared" si="15"/>
        <v>-0.15898463593854373</v>
      </c>
    </row>
    <row r="62" spans="1:15" x14ac:dyDescent="0.25">
      <c r="A62" s="1">
        <v>10</v>
      </c>
      <c r="B62" s="145" t="s">
        <v>91</v>
      </c>
      <c r="C62" s="146">
        <v>0</v>
      </c>
      <c r="D62" s="147">
        <v>-1</v>
      </c>
      <c r="E62" s="146">
        <v>0</v>
      </c>
      <c r="F62" s="147" t="str">
        <f t="shared" si="14"/>
        <v>-</v>
      </c>
      <c r="G62" s="146">
        <v>3524</v>
      </c>
      <c r="H62" s="147" t="str">
        <f t="shared" si="14"/>
        <v>-</v>
      </c>
      <c r="I62" s="146">
        <v>3716</v>
      </c>
      <c r="J62" s="147">
        <f t="shared" si="14"/>
        <v>5.4483541430192961E-2</v>
      </c>
      <c r="K62" s="146">
        <v>4146</v>
      </c>
      <c r="L62" s="147">
        <f t="shared" si="14"/>
        <v>0.11571582346609266</v>
      </c>
      <c r="M62" s="146">
        <v>5158</v>
      </c>
      <c r="N62" s="147">
        <f t="shared" si="15"/>
        <v>0.24409068982151472</v>
      </c>
    </row>
    <row r="63" spans="1:15" x14ac:dyDescent="0.25">
      <c r="A63" s="1">
        <v>11</v>
      </c>
      <c r="B63" s="145" t="s">
        <v>93</v>
      </c>
      <c r="C63" s="146">
        <v>0</v>
      </c>
      <c r="D63" s="147">
        <v>-1</v>
      </c>
      <c r="E63" s="146">
        <v>0</v>
      </c>
      <c r="F63" s="147" t="str">
        <f t="shared" si="14"/>
        <v>-</v>
      </c>
      <c r="G63" s="146">
        <v>4148</v>
      </c>
      <c r="H63" s="147" t="str">
        <f t="shared" si="14"/>
        <v>-</v>
      </c>
      <c r="I63" s="146">
        <v>4138</v>
      </c>
      <c r="J63" s="147">
        <f t="shared" si="14"/>
        <v>-2.4108003857280513E-3</v>
      </c>
      <c r="K63" s="146">
        <v>4532</v>
      </c>
      <c r="L63" s="147">
        <f t="shared" si="14"/>
        <v>9.5215079748670828E-2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0</v>
      </c>
      <c r="D64" s="147">
        <v>-1</v>
      </c>
      <c r="E64" s="146">
        <v>0</v>
      </c>
      <c r="F64" s="147" t="str">
        <f t="shared" si="14"/>
        <v>-</v>
      </c>
      <c r="G64" s="146">
        <v>4483</v>
      </c>
      <c r="H64" s="147" t="str">
        <f t="shared" si="14"/>
        <v>-</v>
      </c>
      <c r="I64" s="146">
        <v>3751</v>
      </c>
      <c r="J64" s="147">
        <f t="shared" si="14"/>
        <v>-0.16328351550301134</v>
      </c>
      <c r="K64" s="146">
        <v>4415</v>
      </c>
      <c r="L64" s="147">
        <f t="shared" si="14"/>
        <v>0.17701946147693959</v>
      </c>
      <c r="M64" s="146"/>
      <c r="N64" s="147"/>
    </row>
    <row r="65" spans="1:15" ht="15.75" x14ac:dyDescent="0.25">
      <c r="B65" s="148" t="s">
        <v>32</v>
      </c>
      <c r="C65" s="149">
        <v>0</v>
      </c>
      <c r="D65" s="150">
        <v>-1</v>
      </c>
      <c r="E65" s="149">
        <v>0</v>
      </c>
      <c r="F65" s="150" t="str">
        <f t="shared" si="14"/>
        <v>-</v>
      </c>
      <c r="G65" s="149">
        <v>46354</v>
      </c>
      <c r="H65" s="150" t="str">
        <f t="shared" si="14"/>
        <v>-</v>
      </c>
      <c r="I65" s="149">
        <v>50550</v>
      </c>
      <c r="J65" s="150">
        <f t="shared" si="14"/>
        <v>9.0520774906156953E-2</v>
      </c>
      <c r="K65" s="149">
        <v>49465</v>
      </c>
      <c r="L65" s="150">
        <f t="shared" si="14"/>
        <v>-2.1463897131552945E-2</v>
      </c>
      <c r="M65" s="149">
        <v>39638</v>
      </c>
      <c r="N65" s="150">
        <v>-2.1718742287378467E-2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256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64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E73-1</f>
        <v>2020</v>
      </c>
      <c r="D73" s="139"/>
      <c r="E73" s="140">
        <f t="shared" ref="E73" si="16">G73-1</f>
        <v>2021</v>
      </c>
      <c r="F73" s="139"/>
      <c r="G73" s="140">
        <f t="shared" ref="G73" si="17">I73-1</f>
        <v>2022</v>
      </c>
      <c r="H73" s="139"/>
      <c r="I73" s="140">
        <f t="shared" ref="I73" si="18">K73-1</f>
        <v>2023</v>
      </c>
      <c r="J73" s="139"/>
      <c r="K73" s="140">
        <f>M73-1</f>
        <v>2024</v>
      </c>
      <c r="L73" s="139"/>
      <c r="M73" s="140"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",RIGHT(E73,2),"/",RIGHT(E73-1,2))</f>
        <v>var 21/20</v>
      </c>
      <c r="G74" s="144" t="s">
        <v>71</v>
      </c>
      <c r="H74" s="143" t="str">
        <f>CONCATENATE("var ",RIGHT(G73,2),"/",RIGHT(G73-1,2))</f>
        <v>var 22/21</v>
      </c>
      <c r="I74" s="144" t="s">
        <v>71</v>
      </c>
      <c r="J74" s="143" t="str">
        <f>CONCATENATE("var ",RIGHT(I73,2),"/",RIGHT(I73-1,2))</f>
        <v>var 23/22</v>
      </c>
      <c r="K74" s="144" t="s">
        <v>71</v>
      </c>
      <c r="L74" s="143" t="str">
        <f>CONCATENATE("var ",RIGHT(K73,2),"/",RIGHT(K73-1,2))</f>
        <v>var 24/23</v>
      </c>
      <c r="M74" s="144" t="s">
        <v>71</v>
      </c>
      <c r="N74" s="143" t="str">
        <f>CONCATENATE("var ",RIGHT(M73,2),"/",RIGHT(M73-1,2))</f>
        <v>var 25/24</v>
      </c>
    </row>
    <row r="75" spans="1:15" x14ac:dyDescent="0.25">
      <c r="A75" s="1">
        <v>1</v>
      </c>
      <c r="B75" s="145" t="s">
        <v>73</v>
      </c>
      <c r="C75" s="146">
        <v>1494</v>
      </c>
      <c r="D75" s="147">
        <v>0.42150333016175079</v>
      </c>
      <c r="E75" s="146">
        <v>0</v>
      </c>
      <c r="F75" s="147">
        <f t="shared" ref="F75:L87" si="19">IFERROR(E75/C75-1,"-")</f>
        <v>-1</v>
      </c>
      <c r="G75" s="146">
        <v>0</v>
      </c>
      <c r="H75" s="147" t="str">
        <f t="shared" si="19"/>
        <v>-</v>
      </c>
      <c r="I75" s="146">
        <v>749</v>
      </c>
      <c r="J75" s="147" t="str">
        <f t="shared" si="19"/>
        <v>-</v>
      </c>
      <c r="K75" s="146">
        <v>731</v>
      </c>
      <c r="L75" s="147">
        <f t="shared" si="19"/>
        <v>-2.4032042723631464E-2</v>
      </c>
      <c r="M75" s="146">
        <v>826</v>
      </c>
      <c r="N75" s="147">
        <f t="shared" ref="N75:N84" si="20">IFERROR(M75/K75-1,"-")</f>
        <v>0.12995896032831733</v>
      </c>
    </row>
    <row r="76" spans="1:15" x14ac:dyDescent="0.25">
      <c r="A76" s="1">
        <v>2</v>
      </c>
      <c r="B76" s="145" t="s">
        <v>75</v>
      </c>
      <c r="C76" s="146">
        <v>1758</v>
      </c>
      <c r="D76" s="147">
        <v>0.56127886323268217</v>
      </c>
      <c r="E76" s="146">
        <v>0</v>
      </c>
      <c r="F76" s="147">
        <f t="shared" si="19"/>
        <v>-1</v>
      </c>
      <c r="G76" s="146">
        <v>0</v>
      </c>
      <c r="H76" s="147" t="str">
        <f t="shared" si="19"/>
        <v>-</v>
      </c>
      <c r="I76" s="146">
        <v>777</v>
      </c>
      <c r="J76" s="147" t="str">
        <f t="shared" si="19"/>
        <v>-</v>
      </c>
      <c r="K76" s="146">
        <v>780</v>
      </c>
      <c r="L76" s="147">
        <f t="shared" si="19"/>
        <v>3.8610038610038533E-3</v>
      </c>
      <c r="M76" s="146">
        <v>817</v>
      </c>
      <c r="N76" s="147">
        <f t="shared" si="20"/>
        <v>4.7435897435897489E-2</v>
      </c>
    </row>
    <row r="77" spans="1:15" x14ac:dyDescent="0.25">
      <c r="A77" s="1">
        <v>3</v>
      </c>
      <c r="B77" s="145" t="s">
        <v>77</v>
      </c>
      <c r="C77" s="146">
        <v>809</v>
      </c>
      <c r="D77" s="147">
        <v>-0.42705382436260619</v>
      </c>
      <c r="E77" s="146">
        <v>0</v>
      </c>
      <c r="F77" s="147">
        <f t="shared" si="19"/>
        <v>-1</v>
      </c>
      <c r="G77" s="146">
        <v>0</v>
      </c>
      <c r="H77" s="147" t="str">
        <f t="shared" si="19"/>
        <v>-</v>
      </c>
      <c r="I77" s="146">
        <v>829</v>
      </c>
      <c r="J77" s="147" t="str">
        <f t="shared" si="19"/>
        <v>-</v>
      </c>
      <c r="K77" s="146">
        <v>780</v>
      </c>
      <c r="L77" s="147">
        <f t="shared" si="19"/>
        <v>-5.9107358262967424E-2</v>
      </c>
      <c r="M77" s="146">
        <v>839</v>
      </c>
      <c r="N77" s="147">
        <f t="shared" si="20"/>
        <v>7.5641025641025594E-2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0</v>
      </c>
      <c r="F78" s="147" t="str">
        <f t="shared" si="19"/>
        <v>-</v>
      </c>
      <c r="G78" s="146">
        <v>438</v>
      </c>
      <c r="H78" s="147" t="str">
        <f t="shared" si="19"/>
        <v>-</v>
      </c>
      <c r="I78" s="146">
        <v>703</v>
      </c>
      <c r="J78" s="147">
        <f t="shared" si="19"/>
        <v>0.60502283105022836</v>
      </c>
      <c r="K78" s="146">
        <v>647</v>
      </c>
      <c r="L78" s="147">
        <f t="shared" si="19"/>
        <v>-7.9658605974395447E-2</v>
      </c>
      <c r="M78" s="146">
        <v>660</v>
      </c>
      <c r="N78" s="147">
        <f t="shared" si="20"/>
        <v>2.0092735703245657E-2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0</v>
      </c>
      <c r="F79" s="147" t="str">
        <f t="shared" si="19"/>
        <v>-</v>
      </c>
      <c r="G79" s="146">
        <v>531</v>
      </c>
      <c r="H79" s="147" t="str">
        <f t="shared" si="19"/>
        <v>-</v>
      </c>
      <c r="I79" s="146">
        <v>489</v>
      </c>
      <c r="J79" s="147">
        <f t="shared" si="19"/>
        <v>-7.9096045197740161E-2</v>
      </c>
      <c r="K79" s="146">
        <v>496</v>
      </c>
      <c r="L79" s="147">
        <f t="shared" si="19"/>
        <v>1.4314928425357865E-2</v>
      </c>
      <c r="M79" s="146">
        <v>723</v>
      </c>
      <c r="N79" s="147">
        <f t="shared" si="20"/>
        <v>0.45766129032258074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0</v>
      </c>
      <c r="F80" s="147" t="str">
        <f t="shared" si="19"/>
        <v>-</v>
      </c>
      <c r="G80" s="146">
        <v>413</v>
      </c>
      <c r="H80" s="147" t="str">
        <f t="shared" si="19"/>
        <v>-</v>
      </c>
      <c r="I80" s="146">
        <v>462</v>
      </c>
      <c r="J80" s="147">
        <f t="shared" si="19"/>
        <v>0.11864406779661008</v>
      </c>
      <c r="K80" s="146">
        <v>484</v>
      </c>
      <c r="L80" s="147">
        <f t="shared" si="19"/>
        <v>4.7619047619047672E-2</v>
      </c>
      <c r="M80" s="146">
        <v>629</v>
      </c>
      <c r="N80" s="147">
        <f t="shared" si="20"/>
        <v>0.29958677685950419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0</v>
      </c>
      <c r="F81" s="147" t="str">
        <f t="shared" si="19"/>
        <v>-</v>
      </c>
      <c r="G81" s="146">
        <v>385</v>
      </c>
      <c r="H81" s="147" t="str">
        <f t="shared" si="19"/>
        <v>-</v>
      </c>
      <c r="I81" s="146">
        <v>0</v>
      </c>
      <c r="J81" s="147">
        <f t="shared" si="19"/>
        <v>-1</v>
      </c>
      <c r="K81" s="146">
        <v>661</v>
      </c>
      <c r="L81" s="147" t="str">
        <f t="shared" si="19"/>
        <v>-</v>
      </c>
      <c r="M81" s="146">
        <v>481</v>
      </c>
      <c r="N81" s="147">
        <f t="shared" si="20"/>
        <v>-0.27231467473524962</v>
      </c>
    </row>
    <row r="82" spans="1:15" x14ac:dyDescent="0.25">
      <c r="A82" s="1">
        <v>8</v>
      </c>
      <c r="B82" s="145" t="s">
        <v>87</v>
      </c>
      <c r="C82" s="146">
        <v>0</v>
      </c>
      <c r="D82" s="147">
        <v>-1</v>
      </c>
      <c r="E82" s="146">
        <v>0</v>
      </c>
      <c r="F82" s="147" t="str">
        <f t="shared" si="19"/>
        <v>-</v>
      </c>
      <c r="G82" s="146">
        <v>564</v>
      </c>
      <c r="H82" s="147" t="str">
        <f t="shared" si="19"/>
        <v>-</v>
      </c>
      <c r="I82" s="146">
        <v>0</v>
      </c>
      <c r="J82" s="147">
        <f t="shared" si="19"/>
        <v>-1</v>
      </c>
      <c r="K82" s="146">
        <v>230</v>
      </c>
      <c r="L82" s="147" t="str">
        <f t="shared" si="19"/>
        <v>-</v>
      </c>
      <c r="M82" s="146">
        <v>348</v>
      </c>
      <c r="N82" s="147">
        <f t="shared" si="20"/>
        <v>0.51304347826086949</v>
      </c>
    </row>
    <row r="83" spans="1:15" x14ac:dyDescent="0.25">
      <c r="A83" s="1">
        <v>9</v>
      </c>
      <c r="B83" s="145" t="s">
        <v>89</v>
      </c>
      <c r="C83" s="146">
        <v>0</v>
      </c>
      <c r="D83" s="147">
        <v>-1</v>
      </c>
      <c r="E83" s="146">
        <v>0</v>
      </c>
      <c r="F83" s="147" t="str">
        <f t="shared" si="19"/>
        <v>-</v>
      </c>
      <c r="G83" s="146">
        <v>561</v>
      </c>
      <c r="H83" s="147" t="str">
        <f t="shared" si="19"/>
        <v>-</v>
      </c>
      <c r="I83" s="146">
        <v>482</v>
      </c>
      <c r="J83" s="147">
        <f t="shared" si="19"/>
        <v>-0.14081996434937616</v>
      </c>
      <c r="K83" s="146">
        <v>596</v>
      </c>
      <c r="L83" s="147">
        <f t="shared" si="19"/>
        <v>0.23651452282157681</v>
      </c>
      <c r="M83" s="146">
        <v>610</v>
      </c>
      <c r="N83" s="147">
        <f t="shared" si="20"/>
        <v>2.3489932885905951E-2</v>
      </c>
    </row>
    <row r="84" spans="1:15" x14ac:dyDescent="0.25">
      <c r="A84" s="1">
        <v>10</v>
      </c>
      <c r="B84" s="145" t="s">
        <v>91</v>
      </c>
      <c r="C84" s="146">
        <v>0</v>
      </c>
      <c r="D84" s="147">
        <v>-1</v>
      </c>
      <c r="E84" s="146">
        <v>0</v>
      </c>
      <c r="F84" s="147" t="str">
        <f t="shared" si="19"/>
        <v>-</v>
      </c>
      <c r="G84" s="146">
        <v>501</v>
      </c>
      <c r="H84" s="147" t="str">
        <f t="shared" si="19"/>
        <v>-</v>
      </c>
      <c r="I84" s="146">
        <v>703</v>
      </c>
      <c r="J84" s="147">
        <f t="shared" si="19"/>
        <v>0.40319361277445109</v>
      </c>
      <c r="K84" s="146">
        <v>773</v>
      </c>
      <c r="L84" s="147">
        <f t="shared" si="19"/>
        <v>9.9573257467994392E-2</v>
      </c>
      <c r="M84" s="146">
        <v>832</v>
      </c>
      <c r="N84" s="147">
        <f t="shared" si="20"/>
        <v>7.6326002587322028E-2</v>
      </c>
    </row>
    <row r="85" spans="1:15" x14ac:dyDescent="0.25">
      <c r="A85" s="1">
        <v>11</v>
      </c>
      <c r="B85" s="145" t="s">
        <v>93</v>
      </c>
      <c r="C85" s="146">
        <v>0</v>
      </c>
      <c r="D85" s="147">
        <v>-1</v>
      </c>
      <c r="E85" s="146">
        <v>0</v>
      </c>
      <c r="F85" s="147" t="str">
        <f t="shared" si="19"/>
        <v>-</v>
      </c>
      <c r="G85" s="146">
        <v>690</v>
      </c>
      <c r="H85" s="147" t="str">
        <f t="shared" si="19"/>
        <v>-</v>
      </c>
      <c r="I85" s="146">
        <v>826</v>
      </c>
      <c r="J85" s="147">
        <f t="shared" si="19"/>
        <v>0.19710144927536222</v>
      </c>
      <c r="K85" s="146">
        <v>932</v>
      </c>
      <c r="L85" s="147">
        <f t="shared" si="19"/>
        <v>0.12832929782082325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0</v>
      </c>
      <c r="D86" s="147">
        <v>-1</v>
      </c>
      <c r="E86" s="146">
        <v>0</v>
      </c>
      <c r="F86" s="147" t="str">
        <f t="shared" si="19"/>
        <v>-</v>
      </c>
      <c r="G86" s="146">
        <v>683</v>
      </c>
      <c r="H86" s="147" t="str">
        <f t="shared" si="19"/>
        <v>-</v>
      </c>
      <c r="I86" s="146">
        <v>834</v>
      </c>
      <c r="J86" s="147">
        <f t="shared" si="19"/>
        <v>0.22108345534407037</v>
      </c>
      <c r="K86" s="146">
        <v>813</v>
      </c>
      <c r="L86" s="147">
        <f t="shared" si="19"/>
        <v>-2.5179856115107868E-2</v>
      </c>
      <c r="M86" s="146"/>
      <c r="N86" s="147"/>
    </row>
    <row r="87" spans="1:15" ht="15.75" x14ac:dyDescent="0.25">
      <c r="B87" s="148" t="s">
        <v>32</v>
      </c>
      <c r="C87" s="149">
        <v>0</v>
      </c>
      <c r="D87" s="150">
        <v>-1</v>
      </c>
      <c r="E87" s="149">
        <v>0</v>
      </c>
      <c r="F87" s="150" t="str">
        <f t="shared" si="19"/>
        <v>-</v>
      </c>
      <c r="G87" s="149">
        <v>5131</v>
      </c>
      <c r="H87" s="150" t="str">
        <f t="shared" si="19"/>
        <v>-</v>
      </c>
      <c r="I87" s="149">
        <v>7607</v>
      </c>
      <c r="J87" s="150">
        <f t="shared" si="19"/>
        <v>0.48255700643149479</v>
      </c>
      <c r="K87" s="149">
        <v>7923</v>
      </c>
      <c r="L87" s="150">
        <f t="shared" si="19"/>
        <v>4.1540686210069566E-2</v>
      </c>
      <c r="M87" s="149">
        <v>6765</v>
      </c>
      <c r="N87" s="150">
        <v>9.5014567821301466E-2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257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117</v>
      </c>
    </row>
    <row r="94" spans="1:15" ht="22.5" thickTop="1" thickBot="1" x14ac:dyDescent="0.3">
      <c r="B94" s="152" t="s">
        <v>98</v>
      </c>
      <c r="C94" s="135" t="s">
        <v>34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E95-1</f>
        <v>2020</v>
      </c>
      <c r="D95" s="139"/>
      <c r="E95" s="140">
        <f t="shared" ref="E95" si="21">G95-1</f>
        <v>2021</v>
      </c>
      <c r="F95" s="139"/>
      <c r="G95" s="140">
        <f t="shared" ref="G95" si="22">I95-1</f>
        <v>2022</v>
      </c>
      <c r="H95" s="139"/>
      <c r="I95" s="140">
        <f t="shared" ref="I95" si="23">K95-1</f>
        <v>2023</v>
      </c>
      <c r="J95" s="139"/>
      <c r="K95" s="140">
        <f>M95-1</f>
        <v>2024</v>
      </c>
      <c r="L95" s="139"/>
      <c r="M95" s="140"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",RIGHT(E95,2),"/",RIGHT(E95-1,2))</f>
        <v>var 21/20</v>
      </c>
      <c r="G96" s="144" t="s">
        <v>71</v>
      </c>
      <c r="H96" s="143" t="str">
        <f>CONCATENATE("var ",RIGHT(G95,2),"/",RIGHT(G95-1,2))</f>
        <v>var 22/21</v>
      </c>
      <c r="I96" s="144" t="s">
        <v>71</v>
      </c>
      <c r="J96" s="143" t="str">
        <f>CONCATENATE("var ",RIGHT(I95,2),"/",RIGHT(I95-1,2))</f>
        <v>var 23/22</v>
      </c>
      <c r="K96" s="144" t="s">
        <v>71</v>
      </c>
      <c r="L96" s="143" t="str">
        <f>CONCATENATE("var ",RIGHT(K95,2),"/",RIGHT(K95-1,2))</f>
        <v>var 24/23</v>
      </c>
      <c r="M96" s="144" t="s">
        <v>71</v>
      </c>
      <c r="N96" s="143" t="str">
        <f>CONCATENATE("var ",RIGHT(M95,2),"/",RIGHT(M95-1,2))</f>
        <v>var 25/24</v>
      </c>
    </row>
    <row r="97" spans="2:14" x14ac:dyDescent="0.25">
      <c r="B97" s="145" t="s">
        <v>73</v>
      </c>
      <c r="C97" s="146" t="s">
        <v>233</v>
      </c>
      <c r="D97" s="147" t="s">
        <v>233</v>
      </c>
      <c r="E97" s="146" t="s">
        <v>233</v>
      </c>
      <c r="F97" s="147" t="str">
        <f t="shared" ref="F97:L109" si="24">IFERROR(E97/C97-1,"-")</f>
        <v>-</v>
      </c>
      <c r="G97" s="146" t="s">
        <v>233</v>
      </c>
      <c r="H97" s="147" t="str">
        <f t="shared" si="24"/>
        <v>-</v>
      </c>
      <c r="I97" s="146" t="s">
        <v>233</v>
      </c>
      <c r="J97" s="147" t="str">
        <f t="shared" si="24"/>
        <v>-</v>
      </c>
      <c r="K97" s="146" t="s">
        <v>233</v>
      </c>
      <c r="L97" s="147" t="str">
        <f t="shared" si="24"/>
        <v>-</v>
      </c>
      <c r="M97" s="146" t="s">
        <v>233</v>
      </c>
      <c r="N97" s="147" t="str">
        <f t="shared" ref="N97:N106" si="25">IFERROR(M97/K97-1,"-")</f>
        <v>-</v>
      </c>
    </row>
    <row r="98" spans="2:14" x14ac:dyDescent="0.25">
      <c r="B98" s="145" t="s">
        <v>75</v>
      </c>
      <c r="C98" s="146" t="s">
        <v>233</v>
      </c>
      <c r="D98" s="147" t="s">
        <v>233</v>
      </c>
      <c r="E98" s="146" t="s">
        <v>233</v>
      </c>
      <c r="F98" s="147" t="str">
        <f t="shared" si="24"/>
        <v>-</v>
      </c>
      <c r="G98" s="146" t="s">
        <v>233</v>
      </c>
      <c r="H98" s="147" t="str">
        <f t="shared" si="24"/>
        <v>-</v>
      </c>
      <c r="I98" s="146" t="s">
        <v>233</v>
      </c>
      <c r="J98" s="147" t="str">
        <f t="shared" si="24"/>
        <v>-</v>
      </c>
      <c r="K98" s="146" t="s">
        <v>233</v>
      </c>
      <c r="L98" s="147" t="str">
        <f t="shared" si="24"/>
        <v>-</v>
      </c>
      <c r="M98" s="146" t="s">
        <v>233</v>
      </c>
      <c r="N98" s="147" t="str">
        <f t="shared" si="25"/>
        <v>-</v>
      </c>
    </row>
    <row r="99" spans="2:14" x14ac:dyDescent="0.25">
      <c r="B99" s="145" t="s">
        <v>77</v>
      </c>
      <c r="C99" s="146" t="s">
        <v>233</v>
      </c>
      <c r="D99" s="147" t="s">
        <v>233</v>
      </c>
      <c r="E99" s="146" t="s">
        <v>233</v>
      </c>
      <c r="F99" s="147" t="str">
        <f t="shared" si="24"/>
        <v>-</v>
      </c>
      <c r="G99" s="146" t="s">
        <v>233</v>
      </c>
      <c r="H99" s="147" t="str">
        <f t="shared" si="24"/>
        <v>-</v>
      </c>
      <c r="I99" s="146" t="s">
        <v>233</v>
      </c>
      <c r="J99" s="147" t="str">
        <f t="shared" si="24"/>
        <v>-</v>
      </c>
      <c r="K99" s="146" t="s">
        <v>233</v>
      </c>
      <c r="L99" s="147" t="str">
        <f t="shared" si="24"/>
        <v>-</v>
      </c>
      <c r="M99" s="146" t="s">
        <v>233</v>
      </c>
      <c r="N99" s="147" t="str">
        <f t="shared" si="25"/>
        <v>-</v>
      </c>
    </row>
    <row r="100" spans="2:14" x14ac:dyDescent="0.25">
      <c r="B100" s="145" t="s">
        <v>79</v>
      </c>
      <c r="C100" s="146" t="s">
        <v>233</v>
      </c>
      <c r="D100" s="147" t="s">
        <v>233</v>
      </c>
      <c r="E100" s="146" t="s">
        <v>233</v>
      </c>
      <c r="F100" s="147" t="str">
        <f t="shared" si="24"/>
        <v>-</v>
      </c>
      <c r="G100" s="146" t="s">
        <v>233</v>
      </c>
      <c r="H100" s="147" t="str">
        <f t="shared" si="24"/>
        <v>-</v>
      </c>
      <c r="I100" s="146" t="s">
        <v>233</v>
      </c>
      <c r="J100" s="147" t="str">
        <f t="shared" si="24"/>
        <v>-</v>
      </c>
      <c r="K100" s="146" t="s">
        <v>233</v>
      </c>
      <c r="L100" s="147" t="str">
        <f t="shared" si="24"/>
        <v>-</v>
      </c>
      <c r="M100" s="146" t="s">
        <v>233</v>
      </c>
      <c r="N100" s="147" t="str">
        <f t="shared" si="25"/>
        <v>-</v>
      </c>
    </row>
    <row r="101" spans="2:14" x14ac:dyDescent="0.25">
      <c r="B101" s="145" t="s">
        <v>81</v>
      </c>
      <c r="C101" s="146" t="s">
        <v>233</v>
      </c>
      <c r="D101" s="147" t="s">
        <v>233</v>
      </c>
      <c r="E101" s="146" t="s">
        <v>233</v>
      </c>
      <c r="F101" s="147" t="str">
        <f t="shared" si="24"/>
        <v>-</v>
      </c>
      <c r="G101" s="146" t="s">
        <v>233</v>
      </c>
      <c r="H101" s="147" t="str">
        <f t="shared" si="24"/>
        <v>-</v>
      </c>
      <c r="I101" s="146" t="s">
        <v>233</v>
      </c>
      <c r="J101" s="147" t="str">
        <f t="shared" si="24"/>
        <v>-</v>
      </c>
      <c r="K101" s="146" t="s">
        <v>233</v>
      </c>
      <c r="L101" s="147" t="str">
        <f t="shared" si="24"/>
        <v>-</v>
      </c>
      <c r="M101" s="146" t="s">
        <v>233</v>
      </c>
      <c r="N101" s="147" t="str">
        <f t="shared" si="25"/>
        <v>-</v>
      </c>
    </row>
    <row r="102" spans="2:14" x14ac:dyDescent="0.25">
      <c r="B102" s="145" t="s">
        <v>83</v>
      </c>
      <c r="C102" s="146" t="s">
        <v>233</v>
      </c>
      <c r="D102" s="147" t="s">
        <v>233</v>
      </c>
      <c r="E102" s="146" t="s">
        <v>233</v>
      </c>
      <c r="F102" s="147" t="str">
        <f t="shared" si="24"/>
        <v>-</v>
      </c>
      <c r="G102" s="146" t="s">
        <v>233</v>
      </c>
      <c r="H102" s="147" t="str">
        <f t="shared" si="24"/>
        <v>-</v>
      </c>
      <c r="I102" s="146" t="s">
        <v>233</v>
      </c>
      <c r="J102" s="147" t="str">
        <f t="shared" si="24"/>
        <v>-</v>
      </c>
      <c r="K102" s="146" t="s">
        <v>233</v>
      </c>
      <c r="L102" s="147" t="str">
        <f t="shared" si="24"/>
        <v>-</v>
      </c>
      <c r="M102" s="146" t="s">
        <v>233</v>
      </c>
      <c r="N102" s="147" t="str">
        <f t="shared" si="25"/>
        <v>-</v>
      </c>
    </row>
    <row r="103" spans="2:14" x14ac:dyDescent="0.25">
      <c r="B103" s="145" t="s">
        <v>85</v>
      </c>
      <c r="C103" s="146" t="s">
        <v>233</v>
      </c>
      <c r="D103" s="147" t="s">
        <v>233</v>
      </c>
      <c r="E103" s="146" t="s">
        <v>233</v>
      </c>
      <c r="F103" s="147" t="str">
        <f t="shared" si="24"/>
        <v>-</v>
      </c>
      <c r="G103" s="146" t="s">
        <v>233</v>
      </c>
      <c r="H103" s="147" t="str">
        <f t="shared" si="24"/>
        <v>-</v>
      </c>
      <c r="I103" s="146" t="s">
        <v>233</v>
      </c>
      <c r="J103" s="147" t="str">
        <f t="shared" si="24"/>
        <v>-</v>
      </c>
      <c r="K103" s="146" t="s">
        <v>233</v>
      </c>
      <c r="L103" s="147" t="str">
        <f t="shared" si="24"/>
        <v>-</v>
      </c>
      <c r="M103" s="146" t="s">
        <v>233</v>
      </c>
      <c r="N103" s="147" t="str">
        <f t="shared" si="25"/>
        <v>-</v>
      </c>
    </row>
    <row r="104" spans="2:14" x14ac:dyDescent="0.25">
      <c r="B104" s="145" t="s">
        <v>87</v>
      </c>
      <c r="C104" s="146" t="s">
        <v>233</v>
      </c>
      <c r="D104" s="147" t="s">
        <v>233</v>
      </c>
      <c r="E104" s="146" t="s">
        <v>233</v>
      </c>
      <c r="F104" s="147" t="str">
        <f t="shared" si="24"/>
        <v>-</v>
      </c>
      <c r="G104" s="146" t="s">
        <v>233</v>
      </c>
      <c r="H104" s="147" t="str">
        <f t="shared" si="24"/>
        <v>-</v>
      </c>
      <c r="I104" s="146" t="s">
        <v>233</v>
      </c>
      <c r="J104" s="147" t="str">
        <f t="shared" si="24"/>
        <v>-</v>
      </c>
      <c r="K104" s="146" t="s">
        <v>233</v>
      </c>
      <c r="L104" s="147" t="str">
        <f t="shared" si="24"/>
        <v>-</v>
      </c>
      <c r="M104" s="146" t="s">
        <v>233</v>
      </c>
      <c r="N104" s="147" t="str">
        <f t="shared" si="25"/>
        <v>-</v>
      </c>
    </row>
    <row r="105" spans="2:14" x14ac:dyDescent="0.25">
      <c r="B105" s="145" t="s">
        <v>89</v>
      </c>
      <c r="C105" s="146" t="s">
        <v>233</v>
      </c>
      <c r="D105" s="147" t="s">
        <v>233</v>
      </c>
      <c r="E105" s="146" t="s">
        <v>233</v>
      </c>
      <c r="F105" s="147" t="str">
        <f t="shared" si="24"/>
        <v>-</v>
      </c>
      <c r="G105" s="146" t="s">
        <v>233</v>
      </c>
      <c r="H105" s="147" t="str">
        <f t="shared" si="24"/>
        <v>-</v>
      </c>
      <c r="I105" s="146" t="s">
        <v>233</v>
      </c>
      <c r="J105" s="147" t="str">
        <f t="shared" si="24"/>
        <v>-</v>
      </c>
      <c r="K105" s="146" t="s">
        <v>233</v>
      </c>
      <c r="L105" s="147" t="str">
        <f t="shared" si="24"/>
        <v>-</v>
      </c>
      <c r="M105" s="146" t="s">
        <v>233</v>
      </c>
      <c r="N105" s="147" t="str">
        <f t="shared" si="25"/>
        <v>-</v>
      </c>
    </row>
    <row r="106" spans="2:14" x14ac:dyDescent="0.25">
      <c r="B106" s="145" t="s">
        <v>91</v>
      </c>
      <c r="C106" s="146" t="s">
        <v>233</v>
      </c>
      <c r="D106" s="147" t="s">
        <v>233</v>
      </c>
      <c r="E106" s="146" t="s">
        <v>233</v>
      </c>
      <c r="F106" s="147" t="str">
        <f t="shared" si="24"/>
        <v>-</v>
      </c>
      <c r="G106" s="146" t="s">
        <v>233</v>
      </c>
      <c r="H106" s="147" t="str">
        <f t="shared" si="24"/>
        <v>-</v>
      </c>
      <c r="I106" s="146" t="s">
        <v>233</v>
      </c>
      <c r="J106" s="147" t="str">
        <f t="shared" si="24"/>
        <v>-</v>
      </c>
      <c r="K106" s="146" t="s">
        <v>233</v>
      </c>
      <c r="L106" s="147" t="str">
        <f t="shared" si="24"/>
        <v>-</v>
      </c>
      <c r="M106" s="146" t="s">
        <v>233</v>
      </c>
      <c r="N106" s="147" t="str">
        <f t="shared" si="25"/>
        <v>-</v>
      </c>
    </row>
    <row r="107" spans="2:14" x14ac:dyDescent="0.25">
      <c r="B107" s="145" t="s">
        <v>93</v>
      </c>
      <c r="C107" s="146" t="s">
        <v>233</v>
      </c>
      <c r="D107" s="147" t="s">
        <v>233</v>
      </c>
      <c r="E107" s="146" t="s">
        <v>233</v>
      </c>
      <c r="F107" s="147" t="str">
        <f t="shared" si="24"/>
        <v>-</v>
      </c>
      <c r="G107" s="146" t="s">
        <v>233</v>
      </c>
      <c r="H107" s="147" t="str">
        <f t="shared" si="24"/>
        <v>-</v>
      </c>
      <c r="I107" s="146" t="s">
        <v>233</v>
      </c>
      <c r="J107" s="147" t="str">
        <f t="shared" si="24"/>
        <v>-</v>
      </c>
      <c r="K107" s="146" t="s">
        <v>233</v>
      </c>
      <c r="L107" s="147" t="str">
        <f t="shared" si="24"/>
        <v>-</v>
      </c>
      <c r="M107" s="146"/>
      <c r="N107" s="147"/>
    </row>
    <row r="108" spans="2:14" x14ac:dyDescent="0.25">
      <c r="B108" s="145" t="s">
        <v>95</v>
      </c>
      <c r="C108" s="146" t="s">
        <v>233</v>
      </c>
      <c r="D108" s="147" t="s">
        <v>233</v>
      </c>
      <c r="E108" s="146" t="s">
        <v>233</v>
      </c>
      <c r="F108" s="147" t="str">
        <f t="shared" si="24"/>
        <v>-</v>
      </c>
      <c r="G108" s="146" t="s">
        <v>233</v>
      </c>
      <c r="H108" s="147" t="str">
        <f t="shared" si="24"/>
        <v>-</v>
      </c>
      <c r="I108" s="146" t="s">
        <v>233</v>
      </c>
      <c r="J108" s="147" t="str">
        <f t="shared" si="24"/>
        <v>-</v>
      </c>
      <c r="K108" s="146" t="s">
        <v>233</v>
      </c>
      <c r="L108" s="147" t="str">
        <f t="shared" si="24"/>
        <v>-</v>
      </c>
      <c r="M108" s="146"/>
      <c r="N108" s="147"/>
    </row>
    <row r="109" spans="2:14" ht="15.75" x14ac:dyDescent="0.25">
      <c r="B109" s="148" t="s">
        <v>32</v>
      </c>
      <c r="C109" s="149" t="s">
        <v>233</v>
      </c>
      <c r="D109" s="150" t="s">
        <v>233</v>
      </c>
      <c r="E109" s="149" t="s">
        <v>233</v>
      </c>
      <c r="F109" s="150" t="str">
        <f t="shared" si="24"/>
        <v>-</v>
      </c>
      <c r="G109" s="149" t="s">
        <v>233</v>
      </c>
      <c r="H109" s="150" t="str">
        <f t="shared" si="24"/>
        <v>-</v>
      </c>
      <c r="I109" s="149" t="s">
        <v>233</v>
      </c>
      <c r="J109" s="150" t="str">
        <f t="shared" si="24"/>
        <v>-</v>
      </c>
      <c r="K109" s="149" t="s">
        <v>233</v>
      </c>
      <c r="L109" s="150" t="str">
        <f t="shared" si="24"/>
        <v>-</v>
      </c>
      <c r="M109" s="149" t="s">
        <v>233</v>
      </c>
      <c r="N109" s="150" t="s">
        <v>233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4" spans="11:11" x14ac:dyDescent="0.25">
      <c r="K114" s="151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B82C1-6591-43DB-B227-D88008BD33D0}">
  <sheetPr>
    <tabColor theme="7" tint="0.79998168889431442"/>
  </sheetPr>
  <dimension ref="A4:E116"/>
  <sheetViews>
    <sheetView showGridLines="0" zoomScaleNormal="100" workbookViewId="0">
      <selection activeCell="D5" sqref="D5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258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134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57388</v>
      </c>
      <c r="D8" s="147">
        <f t="shared" ref="D8:D10" si="0">C8/C9-1</f>
        <v>-1.3222827862510056E-2</v>
      </c>
    </row>
    <row r="9" spans="1:5" x14ac:dyDescent="0.25">
      <c r="A9" s="1"/>
      <c r="B9" s="145">
        <v>2023</v>
      </c>
      <c r="C9" s="146">
        <v>58157</v>
      </c>
      <c r="D9" s="147">
        <f t="shared" si="0"/>
        <v>0.12959114305137409</v>
      </c>
    </row>
    <row r="10" spans="1:5" x14ac:dyDescent="0.25">
      <c r="A10" s="1"/>
      <c r="B10" s="145">
        <v>2022</v>
      </c>
      <c r="C10" s="146">
        <v>51485</v>
      </c>
      <c r="D10" s="147">
        <f t="shared" si="0"/>
        <v>0.53943906231312044</v>
      </c>
    </row>
    <row r="11" spans="1:5" x14ac:dyDescent="0.25">
      <c r="A11" s="1"/>
      <c r="B11" s="145">
        <v>2021</v>
      </c>
      <c r="C11" s="146">
        <v>33444</v>
      </c>
      <c r="D11" s="147">
        <f>C11/C12-1</f>
        <v>0.38078526898146237</v>
      </c>
    </row>
    <row r="12" spans="1:5" x14ac:dyDescent="0.25">
      <c r="A12" s="1" t="s">
        <v>74</v>
      </c>
      <c r="B12" s="145">
        <v>2020</v>
      </c>
      <c r="C12" s="146">
        <v>24221</v>
      </c>
      <c r="D12" s="147">
        <f t="shared" ref="D12:D21" si="1">C12/C13-1</f>
        <v>-0.56660761894537193</v>
      </c>
    </row>
    <row r="13" spans="1:5" x14ac:dyDescent="0.25">
      <c r="A13" s="1" t="s">
        <v>76</v>
      </c>
      <c r="B13" s="145">
        <v>2019</v>
      </c>
      <c r="C13" s="146">
        <v>55887</v>
      </c>
      <c r="D13" s="147">
        <f t="shared" si="1"/>
        <v>3.521283295669253E-2</v>
      </c>
    </row>
    <row r="14" spans="1:5" x14ac:dyDescent="0.25">
      <c r="A14" s="1" t="s">
        <v>78</v>
      </c>
      <c r="B14" s="145">
        <v>2018</v>
      </c>
      <c r="C14" s="146">
        <v>53986</v>
      </c>
      <c r="D14" s="147">
        <f t="shared" si="1"/>
        <v>-6.4610586502642287E-2</v>
      </c>
    </row>
    <row r="15" spans="1:5" x14ac:dyDescent="0.25">
      <c r="A15" s="1" t="s">
        <v>80</v>
      </c>
      <c r="B15" s="145">
        <v>2017</v>
      </c>
      <c r="C15" s="146">
        <v>57715</v>
      </c>
      <c r="D15" s="147">
        <f>C15/C16-1</f>
        <v>7.382737641170678E-2</v>
      </c>
    </row>
    <row r="16" spans="1:5" x14ac:dyDescent="0.25">
      <c r="A16" s="1" t="s">
        <v>82</v>
      </c>
      <c r="B16" s="145">
        <v>2016</v>
      </c>
      <c r="C16" s="146">
        <v>53747</v>
      </c>
      <c r="D16" s="147">
        <f>C16/C17-1</f>
        <v>0.30377935183388316</v>
      </c>
    </row>
    <row r="17" spans="1:5" x14ac:dyDescent="0.25">
      <c r="A17" s="1" t="s">
        <v>84</v>
      </c>
      <c r="B17" s="145">
        <v>2015</v>
      </c>
      <c r="C17" s="146">
        <v>41224</v>
      </c>
      <c r="D17" s="147">
        <f t="shared" si="1"/>
        <v>0.22058388109196425</v>
      </c>
    </row>
    <row r="18" spans="1:5" x14ac:dyDescent="0.25">
      <c r="A18" s="1" t="s">
        <v>86</v>
      </c>
      <c r="B18" s="145">
        <v>2014</v>
      </c>
      <c r="C18" s="146">
        <v>33774</v>
      </c>
      <c r="D18" s="147">
        <f t="shared" si="1"/>
        <v>0.11915965272715212</v>
      </c>
    </row>
    <row r="19" spans="1:5" x14ac:dyDescent="0.25">
      <c r="A19" s="1" t="s">
        <v>88</v>
      </c>
      <c r="B19" s="145">
        <v>2013</v>
      </c>
      <c r="C19" s="146">
        <v>30178</v>
      </c>
      <c r="D19" s="147">
        <f t="shared" si="1"/>
        <v>-5.0857052995754048E-2</v>
      </c>
    </row>
    <row r="20" spans="1:5" x14ac:dyDescent="0.25">
      <c r="A20" s="1" t="s">
        <v>90</v>
      </c>
      <c r="B20" s="145">
        <v>2012</v>
      </c>
      <c r="C20" s="146">
        <v>31795</v>
      </c>
      <c r="D20" s="147">
        <f>C20/C21-1</f>
        <v>-1.4505780615565844E-2</v>
      </c>
    </row>
    <row r="21" spans="1:5" x14ac:dyDescent="0.25">
      <c r="A21" s="1" t="s">
        <v>92</v>
      </c>
      <c r="B21" s="145">
        <v>2011</v>
      </c>
      <c r="C21" s="146">
        <v>32263</v>
      </c>
      <c r="D21" s="147">
        <f t="shared" si="1"/>
        <v>-0.19553671612018453</v>
      </c>
    </row>
    <row r="22" spans="1:5" x14ac:dyDescent="0.25">
      <c r="A22" s="1" t="s">
        <v>94</v>
      </c>
      <c r="B22" s="145">
        <v>2010</v>
      </c>
      <c r="C22" s="146">
        <v>40105</v>
      </c>
      <c r="D22" s="147"/>
    </row>
    <row r="23" spans="1:5" ht="6" customHeight="1" x14ac:dyDescent="0.25"/>
    <row r="24" spans="1:5" x14ac:dyDescent="0.25">
      <c r="B24" s="131" t="s">
        <v>57</v>
      </c>
      <c r="C24" s="131"/>
      <c r="D24" s="131"/>
    </row>
    <row r="27" spans="1:5" ht="48.75" customHeight="1" thickBot="1" x14ac:dyDescent="0.3">
      <c r="B27" s="12" t="s">
        <v>259</v>
      </c>
      <c r="C27" s="12"/>
      <c r="D27" s="12"/>
      <c r="E27" s="1" t="s">
        <v>96</v>
      </c>
    </row>
    <row r="28" spans="1:5" ht="10.5" customHeight="1" thickBot="1" x14ac:dyDescent="0.3">
      <c r="B28" s="132"/>
      <c r="C28" s="133"/>
      <c r="D28" s="132"/>
      <c r="E28" s="1" t="s">
        <v>97</v>
      </c>
    </row>
    <row r="29" spans="1:5" ht="22.5" thickTop="1" thickBot="1" x14ac:dyDescent="0.3">
      <c r="B29" s="152" t="s">
        <v>98</v>
      </c>
      <c r="C29" s="135" t="s">
        <v>139</v>
      </c>
      <c r="D29" s="136"/>
    </row>
    <row r="30" spans="1:5" ht="16.5" thickTop="1" thickBot="1" x14ac:dyDescent="0.3">
      <c r="B30" s="109"/>
      <c r="C30" s="142" t="s">
        <v>140</v>
      </c>
      <c r="D30" s="143" t="s">
        <v>141</v>
      </c>
    </row>
    <row r="31" spans="1:5" x14ac:dyDescent="0.25">
      <c r="B31" s="145">
        <v>2024</v>
      </c>
      <c r="C31" s="146">
        <v>57388</v>
      </c>
      <c r="D31" s="147">
        <f t="shared" ref="D31:D44" si="2">C31/C32-1</f>
        <v>-1.3222827862510056E-2</v>
      </c>
    </row>
    <row r="32" spans="1:5" x14ac:dyDescent="0.25">
      <c r="B32" s="145">
        <v>2023</v>
      </c>
      <c r="C32" s="146">
        <v>58157</v>
      </c>
      <c r="D32" s="147">
        <f t="shared" si="2"/>
        <v>0.12959114305137409</v>
      </c>
    </row>
    <row r="33" spans="2:4" x14ac:dyDescent="0.25">
      <c r="B33" s="145">
        <v>2022</v>
      </c>
      <c r="C33" s="146">
        <v>51485</v>
      </c>
      <c r="D33" s="147">
        <f t="shared" si="2"/>
        <v>0.53943906231312044</v>
      </c>
    </row>
    <row r="34" spans="2:4" x14ac:dyDescent="0.25">
      <c r="B34" s="145">
        <v>2021</v>
      </c>
      <c r="C34" s="146">
        <v>33444</v>
      </c>
      <c r="D34" s="147">
        <f t="shared" si="2"/>
        <v>0.38078526898146237</v>
      </c>
    </row>
    <row r="35" spans="2:4" x14ac:dyDescent="0.25">
      <c r="B35" s="145">
        <v>2020</v>
      </c>
      <c r="C35" s="146">
        <v>24221</v>
      </c>
      <c r="D35" s="147">
        <f t="shared" si="2"/>
        <v>-0.56660761894537193</v>
      </c>
    </row>
    <row r="36" spans="2:4" x14ac:dyDescent="0.25">
      <c r="B36" s="145">
        <v>2019</v>
      </c>
      <c r="C36" s="146">
        <v>55887</v>
      </c>
      <c r="D36" s="147">
        <f t="shared" si="2"/>
        <v>3.521283295669253E-2</v>
      </c>
    </row>
    <row r="37" spans="2:4" x14ac:dyDescent="0.25">
      <c r="B37" s="145">
        <v>2018</v>
      </c>
      <c r="C37" s="146">
        <v>53986</v>
      </c>
      <c r="D37" s="147">
        <f t="shared" si="2"/>
        <v>-6.3783296337402873E-2</v>
      </c>
    </row>
    <row r="38" spans="2:4" x14ac:dyDescent="0.25">
      <c r="B38" s="145">
        <v>2017</v>
      </c>
      <c r="C38" s="146">
        <v>57664</v>
      </c>
      <c r="D38" s="147">
        <f>C38/C39-1</f>
        <v>7.6001567427366634E-2</v>
      </c>
    </row>
    <row r="39" spans="2:4" x14ac:dyDescent="0.25">
      <c r="B39" s="145">
        <v>2016</v>
      </c>
      <c r="C39" s="146">
        <v>53591</v>
      </c>
      <c r="D39" s="147">
        <f>C39/C40-1</f>
        <v>0.30914109829978509</v>
      </c>
    </row>
    <row r="40" spans="2:4" x14ac:dyDescent="0.25">
      <c r="B40" s="145">
        <v>2015</v>
      </c>
      <c r="C40" s="146">
        <v>40936</v>
      </c>
      <c r="D40" s="147">
        <f t="shared" si="2"/>
        <v>0.22284621818616324</v>
      </c>
    </row>
    <row r="41" spans="2:4" x14ac:dyDescent="0.25">
      <c r="B41" s="145">
        <v>2014</v>
      </c>
      <c r="C41" s="146">
        <v>33476</v>
      </c>
      <c r="D41" s="147">
        <f t="shared" si="2"/>
        <v>0.11649934963145792</v>
      </c>
    </row>
    <row r="42" spans="2:4" x14ac:dyDescent="0.25">
      <c r="B42" s="145">
        <v>2013</v>
      </c>
      <c r="C42" s="146">
        <v>29983</v>
      </c>
      <c r="D42" s="147">
        <f t="shared" si="2"/>
        <v>-5.2430314139434886E-2</v>
      </c>
    </row>
    <row r="43" spans="2:4" x14ac:dyDescent="0.25">
      <c r="B43" s="145">
        <v>2012</v>
      </c>
      <c r="C43" s="146">
        <v>31642</v>
      </c>
      <c r="D43" s="147">
        <f>C43/C44-1</f>
        <v>4.4945675506092853E-2</v>
      </c>
    </row>
    <row r="44" spans="2:4" x14ac:dyDescent="0.25">
      <c r="B44" s="145">
        <v>2011</v>
      </c>
      <c r="C44" s="146">
        <v>30281</v>
      </c>
      <c r="D44" s="147">
        <f t="shared" si="2"/>
        <v>-0.180442784453827</v>
      </c>
    </row>
    <row r="45" spans="2:4" x14ac:dyDescent="0.25">
      <c r="B45" s="145">
        <v>2010</v>
      </c>
      <c r="C45" s="146">
        <v>36948</v>
      </c>
      <c r="D45" s="147"/>
    </row>
    <row r="46" spans="2:4" ht="6" customHeight="1" x14ac:dyDescent="0.25"/>
    <row r="47" spans="2:4" x14ac:dyDescent="0.25">
      <c r="B47" s="131" t="s">
        <v>57</v>
      </c>
      <c r="C47" s="131"/>
      <c r="D47" s="131"/>
    </row>
    <row r="50" spans="1:5" ht="48.75" customHeight="1" thickBot="1" x14ac:dyDescent="0.3">
      <c r="B50" s="12" t="s">
        <v>260</v>
      </c>
      <c r="C50" s="12"/>
      <c r="D50" s="12"/>
      <c r="E50" s="1" t="s">
        <v>100</v>
      </c>
    </row>
    <row r="51" spans="1:5" ht="10.5" customHeight="1" thickBot="1" x14ac:dyDescent="0.3">
      <c r="B51" s="132"/>
      <c r="C51" s="133"/>
      <c r="D51" s="132"/>
      <c r="E51" s="1" t="s">
        <v>101</v>
      </c>
    </row>
    <row r="52" spans="1:5" ht="22.5" thickTop="1" thickBot="1" x14ac:dyDescent="0.3">
      <c r="B52" s="137"/>
      <c r="C52" s="135" t="s">
        <v>142</v>
      </c>
      <c r="D52" s="136"/>
    </row>
    <row r="53" spans="1:5" ht="16.5" thickTop="1" thickBot="1" x14ac:dyDescent="0.3">
      <c r="B53" s="109"/>
      <c r="C53" s="142" t="s">
        <v>140</v>
      </c>
      <c r="D53" s="143" t="s">
        <v>141</v>
      </c>
    </row>
    <row r="54" spans="1:5" x14ac:dyDescent="0.25">
      <c r="A54" s="1">
        <v>1</v>
      </c>
      <c r="B54" s="145">
        <v>2024</v>
      </c>
      <c r="C54" s="146">
        <v>49465</v>
      </c>
      <c r="D54" s="147">
        <f t="shared" ref="D54:D56" si="3">C54/C55-1</f>
        <v>-2.1463897131552945E-2</v>
      </c>
    </row>
    <row r="55" spans="1:5" x14ac:dyDescent="0.25">
      <c r="A55" s="1"/>
      <c r="B55" s="145">
        <v>2023</v>
      </c>
      <c r="C55" s="146">
        <v>50550</v>
      </c>
      <c r="D55" s="147">
        <f t="shared" si="3"/>
        <v>9.0520774906156953E-2</v>
      </c>
    </row>
    <row r="56" spans="1:5" x14ac:dyDescent="0.25">
      <c r="A56" s="1"/>
      <c r="B56" s="145">
        <v>2022</v>
      </c>
      <c r="C56" s="146">
        <v>46354</v>
      </c>
      <c r="D56" s="147" t="e">
        <f t="shared" si="3"/>
        <v>#DIV/0!</v>
      </c>
    </row>
    <row r="57" spans="1:5" x14ac:dyDescent="0.25">
      <c r="A57" s="1"/>
      <c r="B57" s="145">
        <v>2021</v>
      </c>
      <c r="C57" s="146">
        <v>0</v>
      </c>
      <c r="D57" s="147" t="e">
        <f>C57/C58-1</f>
        <v>#DIV/0!</v>
      </c>
    </row>
    <row r="58" spans="1:5" x14ac:dyDescent="0.25">
      <c r="A58" s="1">
        <v>2</v>
      </c>
      <c r="B58" s="145">
        <v>2020</v>
      </c>
      <c r="C58" s="146">
        <v>0</v>
      </c>
      <c r="D58" s="147">
        <f t="shared" ref="D58:D67" si="4">C58/C59-1</f>
        <v>-1</v>
      </c>
    </row>
    <row r="59" spans="1:5" x14ac:dyDescent="0.25">
      <c r="A59" s="1">
        <v>3</v>
      </c>
      <c r="B59" s="145">
        <v>2019</v>
      </c>
      <c r="C59" s="146">
        <v>42488</v>
      </c>
      <c r="D59" s="147">
        <f t="shared" si="4"/>
        <v>7.9581258257953147E-2</v>
      </c>
    </row>
    <row r="60" spans="1:5" x14ac:dyDescent="0.25">
      <c r="A60" s="1">
        <v>4</v>
      </c>
      <c r="B60" s="145">
        <v>2018</v>
      </c>
      <c r="C60" s="146">
        <v>39356</v>
      </c>
      <c r="D60" s="147">
        <f t="shared" si="4"/>
        <v>0.52672821786019086</v>
      </c>
    </row>
    <row r="61" spans="1:5" x14ac:dyDescent="0.25">
      <c r="A61" s="1">
        <v>5</v>
      </c>
      <c r="B61" s="145">
        <v>2017</v>
      </c>
      <c r="C61" s="146">
        <v>25778</v>
      </c>
      <c r="D61" s="147" t="e">
        <f>C61/C62-1</f>
        <v>#DIV/0!</v>
      </c>
    </row>
    <row r="62" spans="1:5" x14ac:dyDescent="0.25">
      <c r="A62" s="1">
        <v>6</v>
      </c>
      <c r="B62" s="145">
        <v>2016</v>
      </c>
      <c r="C62" s="146">
        <v>0</v>
      </c>
      <c r="D62" s="147" t="e">
        <f>C62/C63-1</f>
        <v>#DIV/0!</v>
      </c>
    </row>
    <row r="63" spans="1:5" x14ac:dyDescent="0.25">
      <c r="A63" s="1">
        <v>7</v>
      </c>
      <c r="B63" s="145">
        <v>2015</v>
      </c>
      <c r="C63" s="146">
        <v>0</v>
      </c>
      <c r="D63" s="147" t="e">
        <f t="shared" si="4"/>
        <v>#DIV/0!</v>
      </c>
    </row>
    <row r="64" spans="1:5" x14ac:dyDescent="0.25">
      <c r="A64" s="1">
        <v>8</v>
      </c>
      <c r="B64" s="145">
        <v>2014</v>
      </c>
      <c r="C64" s="146">
        <v>0</v>
      </c>
      <c r="D64" s="147" t="e">
        <f t="shared" si="4"/>
        <v>#DIV/0!</v>
      </c>
    </row>
    <row r="65" spans="1:5" x14ac:dyDescent="0.25">
      <c r="A65" s="1">
        <v>9</v>
      </c>
      <c r="B65" s="145">
        <v>2013</v>
      </c>
      <c r="C65" s="146">
        <v>0</v>
      </c>
      <c r="D65" s="147" t="e">
        <f t="shared" si="4"/>
        <v>#DIV/0!</v>
      </c>
    </row>
    <row r="66" spans="1:5" x14ac:dyDescent="0.25">
      <c r="A66" s="1">
        <v>10</v>
      </c>
      <c r="B66" s="145">
        <v>2012</v>
      </c>
      <c r="C66" s="146">
        <v>0</v>
      </c>
      <c r="D66" s="147" t="e">
        <f>C66/C67-1</f>
        <v>#DIV/0!</v>
      </c>
    </row>
    <row r="67" spans="1:5" x14ac:dyDescent="0.25">
      <c r="A67" s="1">
        <v>11</v>
      </c>
      <c r="B67" s="145">
        <v>2011</v>
      </c>
      <c r="C67" s="146">
        <v>0</v>
      </c>
      <c r="D67" s="147" t="e">
        <f t="shared" si="4"/>
        <v>#DIV/0!</v>
      </c>
    </row>
    <row r="68" spans="1:5" x14ac:dyDescent="0.25">
      <c r="A68" s="1">
        <v>12</v>
      </c>
      <c r="B68" s="145">
        <v>2010</v>
      </c>
      <c r="C68" s="146">
        <v>0</v>
      </c>
      <c r="D68" s="147"/>
    </row>
    <row r="69" spans="1:5" ht="6" customHeight="1" x14ac:dyDescent="0.25"/>
    <row r="70" spans="1:5" x14ac:dyDescent="0.25">
      <c r="B70" s="131" t="s">
        <v>57</v>
      </c>
      <c r="C70" s="131"/>
      <c r="D70" s="131"/>
    </row>
    <row r="73" spans="1:5" ht="48.75" customHeight="1" thickBot="1" x14ac:dyDescent="0.3">
      <c r="B73" s="12" t="s">
        <v>143</v>
      </c>
      <c r="C73" s="12"/>
      <c r="D73" s="12"/>
      <c r="E73" s="1" t="s">
        <v>103</v>
      </c>
    </row>
    <row r="74" spans="1:5" ht="10.5" customHeight="1" thickBot="1" x14ac:dyDescent="0.3">
      <c r="B74" s="132"/>
      <c r="C74" s="133"/>
      <c r="D74" s="132"/>
      <c r="E74" s="1" t="s">
        <v>104</v>
      </c>
    </row>
    <row r="75" spans="1:5" ht="22.5" thickTop="1" thickBot="1" x14ac:dyDescent="0.3">
      <c r="B75" s="137"/>
      <c r="C75" s="135" t="s">
        <v>144</v>
      </c>
      <c r="D75" s="136"/>
    </row>
    <row r="76" spans="1:5" ht="16.5" thickTop="1" thickBot="1" x14ac:dyDescent="0.3">
      <c r="B76" s="109"/>
      <c r="C76" s="142" t="s">
        <v>140</v>
      </c>
      <c r="D76" s="143" t="s">
        <v>141</v>
      </c>
    </row>
    <row r="77" spans="1:5" x14ac:dyDescent="0.25">
      <c r="A77" s="1">
        <v>1</v>
      </c>
      <c r="B77" s="145">
        <v>2024</v>
      </c>
      <c r="C77" s="146">
        <v>7923</v>
      </c>
      <c r="D77" s="147">
        <f t="shared" ref="D77:D83" si="5">C77/C78-1</f>
        <v>4.1540686210069566E-2</v>
      </c>
    </row>
    <row r="78" spans="1:5" x14ac:dyDescent="0.25">
      <c r="A78" s="1"/>
      <c r="B78" s="145">
        <v>2023</v>
      </c>
      <c r="C78" s="146">
        <v>7607</v>
      </c>
      <c r="D78" s="147">
        <f t="shared" si="5"/>
        <v>0.48255700643149479</v>
      </c>
    </row>
    <row r="79" spans="1:5" x14ac:dyDescent="0.25">
      <c r="A79" s="1"/>
      <c r="B79" s="145">
        <v>2022</v>
      </c>
      <c r="C79" s="146">
        <v>5131</v>
      </c>
      <c r="D79" s="147" t="e">
        <f t="shared" si="5"/>
        <v>#DIV/0!</v>
      </c>
    </row>
    <row r="80" spans="1:5" x14ac:dyDescent="0.25">
      <c r="A80" s="1"/>
      <c r="B80" s="145">
        <v>2021</v>
      </c>
      <c r="C80" s="146">
        <v>0</v>
      </c>
      <c r="D80" s="147" t="e">
        <f t="shared" si="5"/>
        <v>#DIV/0!</v>
      </c>
    </row>
    <row r="81" spans="1:5" x14ac:dyDescent="0.25">
      <c r="A81" s="1">
        <v>2</v>
      </c>
      <c r="B81" s="145">
        <v>2020</v>
      </c>
      <c r="C81" s="146">
        <v>0</v>
      </c>
      <c r="D81" s="147">
        <f t="shared" si="5"/>
        <v>-1</v>
      </c>
    </row>
    <row r="82" spans="1:5" x14ac:dyDescent="0.25">
      <c r="A82" s="1">
        <v>3</v>
      </c>
      <c r="B82" s="145">
        <v>2019</v>
      </c>
      <c r="C82" s="146">
        <v>13399</v>
      </c>
      <c r="D82" s="147">
        <f t="shared" si="5"/>
        <v>-8.4142173615857851E-2</v>
      </c>
    </row>
    <row r="83" spans="1:5" x14ac:dyDescent="0.25">
      <c r="A83" s="1">
        <v>4</v>
      </c>
      <c r="B83" s="145">
        <v>2018</v>
      </c>
      <c r="C83" s="146">
        <v>14630</v>
      </c>
      <c r="D83" s="147">
        <f t="shared" si="5"/>
        <v>-0.54117794643417172</v>
      </c>
    </row>
    <row r="84" spans="1:5" x14ac:dyDescent="0.25">
      <c r="A84" s="1">
        <v>5</v>
      </c>
      <c r="B84" s="145">
        <v>2017</v>
      </c>
      <c r="C84" s="146">
        <v>31886</v>
      </c>
      <c r="D84" s="147" t="e">
        <f>C84/C85-1</f>
        <v>#DIV/0!</v>
      </c>
    </row>
    <row r="85" spans="1:5" x14ac:dyDescent="0.25">
      <c r="A85" s="1">
        <v>6</v>
      </c>
      <c r="B85" s="145">
        <v>2016</v>
      </c>
      <c r="C85" s="146">
        <v>0</v>
      </c>
      <c r="D85" s="147" t="e">
        <f>C85/C86-1</f>
        <v>#DIV/0!</v>
      </c>
    </row>
    <row r="86" spans="1:5" x14ac:dyDescent="0.25">
      <c r="A86" s="1">
        <v>7</v>
      </c>
      <c r="B86" s="145">
        <v>2015</v>
      </c>
      <c r="C86" s="146">
        <v>0</v>
      </c>
      <c r="D86" s="147" t="e">
        <f t="shared" ref="D86:D88" si="6">C86/C87-1</f>
        <v>#DIV/0!</v>
      </c>
    </row>
    <row r="87" spans="1:5" x14ac:dyDescent="0.25">
      <c r="A87" s="1">
        <v>8</v>
      </c>
      <c r="B87" s="145">
        <v>2014</v>
      </c>
      <c r="C87" s="146">
        <v>0</v>
      </c>
      <c r="D87" s="147" t="e">
        <f t="shared" si="6"/>
        <v>#DIV/0!</v>
      </c>
    </row>
    <row r="88" spans="1:5" x14ac:dyDescent="0.25">
      <c r="A88" s="1">
        <v>9</v>
      </c>
      <c r="B88" s="145">
        <v>2013</v>
      </c>
      <c r="C88" s="146">
        <v>0</v>
      </c>
      <c r="D88" s="147" t="e">
        <f t="shared" si="6"/>
        <v>#DIV/0!</v>
      </c>
    </row>
    <row r="89" spans="1:5" x14ac:dyDescent="0.25">
      <c r="A89" s="1">
        <v>10</v>
      </c>
      <c r="B89" s="145">
        <v>2012</v>
      </c>
      <c r="C89" s="146">
        <v>0</v>
      </c>
      <c r="D89" s="147" t="e">
        <f>C89/C90-1</f>
        <v>#DIV/0!</v>
      </c>
    </row>
    <row r="90" spans="1:5" x14ac:dyDescent="0.25">
      <c r="A90" s="1">
        <v>11</v>
      </c>
      <c r="B90" s="145">
        <v>2011</v>
      </c>
      <c r="C90" s="146">
        <v>0</v>
      </c>
      <c r="D90" s="147">
        <f t="shared" ref="D90" si="7">C90/C91-1</f>
        <v>-1</v>
      </c>
    </row>
    <row r="91" spans="1:5" x14ac:dyDescent="0.25">
      <c r="A91" s="1">
        <v>12</v>
      </c>
      <c r="B91" s="145">
        <v>2010</v>
      </c>
      <c r="C91" s="146">
        <v>36948</v>
      </c>
      <c r="D91" s="147"/>
    </row>
    <row r="92" spans="1:5" ht="6" customHeight="1" x14ac:dyDescent="0.25"/>
    <row r="93" spans="1:5" x14ac:dyDescent="0.25">
      <c r="B93" s="131" t="s">
        <v>57</v>
      </c>
      <c r="C93" s="131"/>
      <c r="D93" s="131"/>
    </row>
    <row r="96" spans="1:5" ht="48.75" customHeight="1" thickBot="1" x14ac:dyDescent="0.3">
      <c r="B96" s="12" t="s">
        <v>261</v>
      </c>
      <c r="C96" s="12"/>
      <c r="D96" s="12"/>
      <c r="E96" s="1" t="s">
        <v>116</v>
      </c>
    </row>
    <row r="97" spans="2:5" ht="10.5" customHeight="1" thickBot="1" x14ac:dyDescent="0.3">
      <c r="B97" s="132"/>
      <c r="C97" s="133"/>
      <c r="D97" s="132"/>
      <c r="E97" s="1" t="s">
        <v>117</v>
      </c>
    </row>
    <row r="98" spans="2:5" ht="22.5" thickTop="1" thickBot="1" x14ac:dyDescent="0.3">
      <c r="B98" s="152" t="s">
        <v>98</v>
      </c>
      <c r="C98" s="135" t="s">
        <v>34</v>
      </c>
      <c r="D98" s="136"/>
    </row>
    <row r="99" spans="2:5" ht="16.5" thickTop="1" thickBot="1" x14ac:dyDescent="0.3">
      <c r="B99" s="109"/>
      <c r="C99" s="142" t="s">
        <v>140</v>
      </c>
      <c r="D99" s="143" t="s">
        <v>141</v>
      </c>
    </row>
    <row r="100" spans="2:5" x14ac:dyDescent="0.25">
      <c r="B100" s="145">
        <v>2024</v>
      </c>
      <c r="C100" s="146" t="s">
        <v>233</v>
      </c>
      <c r="D100" s="147" t="e">
        <f t="shared" ref="D100:D113" si="8">C100/C101-1</f>
        <v>#VALUE!</v>
      </c>
    </row>
    <row r="101" spans="2:5" x14ac:dyDescent="0.25">
      <c r="B101" s="145">
        <v>2023</v>
      </c>
      <c r="C101" s="146" t="s">
        <v>233</v>
      </c>
      <c r="D101" s="147" t="e">
        <f t="shared" si="8"/>
        <v>#VALUE!</v>
      </c>
    </row>
    <row r="102" spans="2:5" x14ac:dyDescent="0.25">
      <c r="B102" s="145">
        <v>2022</v>
      </c>
      <c r="C102" s="146" t="s">
        <v>233</v>
      </c>
      <c r="D102" s="147" t="e">
        <f t="shared" si="8"/>
        <v>#VALUE!</v>
      </c>
    </row>
    <row r="103" spans="2:5" x14ac:dyDescent="0.25">
      <c r="B103" s="145">
        <v>2021</v>
      </c>
      <c r="C103" s="146" t="s">
        <v>233</v>
      </c>
      <c r="D103" s="147" t="e">
        <f t="shared" si="8"/>
        <v>#VALUE!</v>
      </c>
    </row>
    <row r="104" spans="2:5" x14ac:dyDescent="0.25">
      <c r="B104" s="145">
        <v>2020</v>
      </c>
      <c r="C104" s="146" t="s">
        <v>233</v>
      </c>
      <c r="D104" s="147" t="e">
        <f t="shared" si="8"/>
        <v>#VALUE!</v>
      </c>
    </row>
    <row r="105" spans="2:5" x14ac:dyDescent="0.25">
      <c r="B105" s="145">
        <v>2019</v>
      </c>
      <c r="C105" s="146" t="s">
        <v>233</v>
      </c>
      <c r="D105" s="147" t="e">
        <f t="shared" si="8"/>
        <v>#VALUE!</v>
      </c>
    </row>
    <row r="106" spans="2:5" x14ac:dyDescent="0.25">
      <c r="B106" s="145">
        <v>2018</v>
      </c>
      <c r="C106" s="146" t="s">
        <v>233</v>
      </c>
      <c r="D106" s="147" t="e">
        <f t="shared" si="8"/>
        <v>#VALUE!</v>
      </c>
    </row>
    <row r="107" spans="2:5" x14ac:dyDescent="0.25">
      <c r="B107" s="145">
        <v>2017</v>
      </c>
      <c r="C107" s="146" t="s">
        <v>233</v>
      </c>
      <c r="D107" s="147" t="e">
        <f t="shared" si="8"/>
        <v>#VALUE!</v>
      </c>
    </row>
    <row r="108" spans="2:5" x14ac:dyDescent="0.25">
      <c r="B108" s="145">
        <v>2016</v>
      </c>
      <c r="C108" s="146" t="s">
        <v>233</v>
      </c>
      <c r="D108" s="147" t="e">
        <f t="shared" si="8"/>
        <v>#VALUE!</v>
      </c>
    </row>
    <row r="109" spans="2:5" x14ac:dyDescent="0.25">
      <c r="B109" s="145">
        <v>2015</v>
      </c>
      <c r="C109" s="146" t="s">
        <v>233</v>
      </c>
      <c r="D109" s="147" t="e">
        <f t="shared" si="8"/>
        <v>#VALUE!</v>
      </c>
    </row>
    <row r="110" spans="2:5" x14ac:dyDescent="0.25">
      <c r="B110" s="145">
        <v>2014</v>
      </c>
      <c r="C110" s="146" t="s">
        <v>233</v>
      </c>
      <c r="D110" s="147" t="e">
        <f t="shared" si="8"/>
        <v>#VALUE!</v>
      </c>
    </row>
    <row r="111" spans="2:5" x14ac:dyDescent="0.25">
      <c r="B111" s="145">
        <v>2013</v>
      </c>
      <c r="C111" s="146" t="s">
        <v>233</v>
      </c>
      <c r="D111" s="147" t="e">
        <f t="shared" si="8"/>
        <v>#VALUE!</v>
      </c>
    </row>
    <row r="112" spans="2:5" x14ac:dyDescent="0.25">
      <c r="B112" s="145">
        <v>2012</v>
      </c>
      <c r="C112" s="146" t="s">
        <v>233</v>
      </c>
      <c r="D112" s="147" t="e">
        <f t="shared" si="8"/>
        <v>#VALUE!</v>
      </c>
    </row>
    <row r="113" spans="2:4" x14ac:dyDescent="0.25">
      <c r="B113" s="145">
        <v>2011</v>
      </c>
      <c r="C113" s="146" t="s">
        <v>233</v>
      </c>
      <c r="D113" s="147" t="e">
        <f t="shared" si="8"/>
        <v>#VALUE!</v>
      </c>
    </row>
    <row r="114" spans="2:4" x14ac:dyDescent="0.25">
      <c r="B114" s="145">
        <v>2010</v>
      </c>
      <c r="C114" s="146" t="s">
        <v>233</v>
      </c>
      <c r="D114" s="147"/>
    </row>
    <row r="115" spans="2:4" ht="6" customHeight="1" x14ac:dyDescent="0.25"/>
    <row r="116" spans="2:4" x14ac:dyDescent="0.25">
      <c r="B116" s="131" t="s">
        <v>57</v>
      </c>
      <c r="C116" s="131"/>
      <c r="D116" s="131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25AE0-03CD-4694-9F39-A836961C3987}">
  <sheetPr>
    <tabColor theme="7" tint="0.79998168889431442"/>
  </sheetPr>
  <dimension ref="A1:V59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27.42578125" customWidth="1"/>
    <col min="3" max="8" width="12.85546875" customWidth="1"/>
    <col min="9" max="10" width="9.7109375" customWidth="1"/>
    <col min="11" max="11" width="12.28515625" customWidth="1"/>
    <col min="17" max="18" width="11.42578125" customWidth="1"/>
    <col min="19" max="20" width="10.42578125" customWidth="1"/>
    <col min="21" max="21" width="11.140625" customWidth="1"/>
    <col min="22" max="22" width="10.42578125" customWidth="1"/>
  </cols>
  <sheetData>
    <row r="1" spans="1:22" ht="42.75" customHeight="1" x14ac:dyDescent="0.25"/>
    <row r="2" spans="1:22" ht="23.25" x14ac:dyDescent="0.35">
      <c r="B2" s="157"/>
      <c r="C2" s="157"/>
      <c r="D2" s="157"/>
      <c r="E2" s="157"/>
      <c r="F2" s="157"/>
    </row>
    <row r="3" spans="1:22" ht="40.5" customHeight="1" thickBot="1" x14ac:dyDescent="0.3">
      <c r="B3" s="85" t="s">
        <v>145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</row>
    <row r="4" spans="1:22" ht="8.25" customHeight="1" thickBot="1" x14ac:dyDescent="0.3">
      <c r="B4" s="107"/>
      <c r="C4" s="107"/>
      <c r="D4" s="107"/>
      <c r="E4" s="107"/>
      <c r="F4" s="107"/>
      <c r="G4" s="107"/>
      <c r="H4" s="107"/>
      <c r="I4" s="107"/>
      <c r="J4" s="108"/>
      <c r="K4" s="107"/>
      <c r="L4" s="107"/>
      <c r="M4" s="107"/>
      <c r="N4" s="107"/>
      <c r="O4" s="107"/>
      <c r="P4" s="107"/>
      <c r="Q4" s="107"/>
      <c r="R4" s="108"/>
      <c r="S4" s="108"/>
      <c r="T4" s="108"/>
      <c r="U4" s="108"/>
      <c r="V4" s="108"/>
    </row>
    <row r="5" spans="1:22" ht="60.75" thickBot="1" x14ac:dyDescent="0.3">
      <c r="B5" s="109"/>
      <c r="C5" s="158" t="s">
        <v>262</v>
      </c>
      <c r="D5" s="158" t="s">
        <v>234</v>
      </c>
      <c r="E5" s="158" t="s">
        <v>235</v>
      </c>
      <c r="F5" s="158" t="s">
        <v>236</v>
      </c>
      <c r="G5" s="158" t="s">
        <v>237</v>
      </c>
      <c r="H5" s="158" t="s">
        <v>238</v>
      </c>
      <c r="I5" s="159" t="str">
        <f>CONCATENATE("var. ",RIGHT(H5,2),"/",RIGHT(G5,2))</f>
        <v>var. 25/24</v>
      </c>
      <c r="J5" s="159" t="str">
        <f>CONCATENATE("dif. ",RIGHT(H5,2),"/",RIGHT(G5,2))</f>
        <v>dif. 25/24</v>
      </c>
      <c r="K5" s="15" t="str">
        <f>CONCATENATE("cuota ",H5)</f>
        <v>cuota acumulado a octubre 2025</v>
      </c>
      <c r="L5" s="15" t="str">
        <f>CONCATENATE("cuota/ total municipio ",RIGHT(H5,2))</f>
        <v>cuota/ total municipio 25</v>
      </c>
      <c r="M5" s="14" t="s">
        <v>263</v>
      </c>
      <c r="N5" s="14" t="s">
        <v>228</v>
      </c>
      <c r="O5" s="14" t="s">
        <v>229</v>
      </c>
      <c r="P5" s="14" t="s">
        <v>230</v>
      </c>
      <c r="Q5" s="14" t="s">
        <v>231</v>
      </c>
      <c r="R5" s="14" t="s">
        <v>232</v>
      </c>
      <c r="S5" s="159" t="str">
        <f>CONCATENATE("var. ",RIGHT(R5,2),"/",RIGHT(Q5,2))</f>
        <v>var. 25/24</v>
      </c>
      <c r="T5" s="159" t="str">
        <f>CONCATENATE("dif. ",RIGHT(R5,2),"/",RIGHT(Q5,2))</f>
        <v>dif. 25/24</v>
      </c>
      <c r="U5" s="15" t="str">
        <f>CONCATENATE("cuota ",R5)</f>
        <v>cuota octubre 2025</v>
      </c>
      <c r="V5" s="160" t="str">
        <f>CONCATENATE("cuota/ total municipio ",RIGHT(R5,2))</f>
        <v>cuota/ total municipio 25</v>
      </c>
    </row>
    <row r="6" spans="1:22" ht="15.75" x14ac:dyDescent="0.25">
      <c r="B6" s="161" t="s">
        <v>45</v>
      </c>
      <c r="C6" s="162">
        <v>1407412</v>
      </c>
      <c r="D6" s="162">
        <v>1678957</v>
      </c>
      <c r="E6" s="162">
        <v>3924823</v>
      </c>
      <c r="F6" s="162">
        <v>4320832</v>
      </c>
      <c r="G6" s="162">
        <v>4588197</v>
      </c>
      <c r="H6" s="162">
        <v>4565135</v>
      </c>
      <c r="I6" s="163">
        <f>IFERROR(H6/G6-1,"-")</f>
        <v>-5.0263752842347742E-3</v>
      </c>
      <c r="J6" s="162">
        <f>IFERROR(H6-G6,"-")</f>
        <v>-23062</v>
      </c>
      <c r="K6" s="163">
        <f t="shared" ref="K6:K57" si="0">IFERROR(H6/$H$6,"-")</f>
        <v>1</v>
      </c>
      <c r="L6" s="164">
        <f>H6/H6</f>
        <v>1</v>
      </c>
      <c r="M6" s="162">
        <v>96220</v>
      </c>
      <c r="N6" s="162">
        <v>366988</v>
      </c>
      <c r="O6" s="162">
        <v>432738</v>
      </c>
      <c r="P6" s="162">
        <v>471699</v>
      </c>
      <c r="Q6" s="162">
        <v>492579</v>
      </c>
      <c r="R6" s="162">
        <v>493344</v>
      </c>
      <c r="S6" s="163">
        <f>IFERROR(R6/Q6-1,"-")</f>
        <v>1.5530503736456147E-3</v>
      </c>
      <c r="T6" s="162">
        <f t="shared" ref="T6:T57" si="1">R6-Q6</f>
        <v>765</v>
      </c>
      <c r="U6" s="163">
        <f>IFERROR(P6/$P$6,"-")</f>
        <v>1</v>
      </c>
      <c r="V6" s="164">
        <f>IFERROR(R6/R6,"-")</f>
        <v>1</v>
      </c>
    </row>
    <row r="7" spans="1:22" ht="15.75" x14ac:dyDescent="0.25">
      <c r="B7" s="165" t="s">
        <v>62</v>
      </c>
      <c r="C7" s="166">
        <v>1075029</v>
      </c>
      <c r="D7" s="166">
        <v>1335956</v>
      </c>
      <c r="E7" s="166">
        <v>3116022</v>
      </c>
      <c r="F7" s="166">
        <v>3408188</v>
      </c>
      <c r="G7" s="166">
        <v>3585143</v>
      </c>
      <c r="H7" s="166">
        <v>3509018</v>
      </c>
      <c r="I7" s="167">
        <f t="shared" ref="I7:I57" si="2">IFERROR(H7/G7-1,"-")</f>
        <v>-2.123346265406989E-2</v>
      </c>
      <c r="J7" s="166">
        <f t="shared" ref="J7:J57" si="3">IFERROR(H7-G7,"-")</f>
        <v>-76125</v>
      </c>
      <c r="K7" s="167">
        <f t="shared" si="0"/>
        <v>0.76865591050428961</v>
      </c>
      <c r="L7" s="167">
        <f>H7/H6</f>
        <v>0.76865591050428961</v>
      </c>
      <c r="M7" s="166">
        <v>72715</v>
      </c>
      <c r="N7" s="166">
        <v>297544</v>
      </c>
      <c r="O7" s="166">
        <v>345763</v>
      </c>
      <c r="P7" s="166">
        <v>376210</v>
      </c>
      <c r="Q7" s="166">
        <v>387119</v>
      </c>
      <c r="R7" s="166">
        <v>379667</v>
      </c>
      <c r="S7" s="167">
        <f t="shared" ref="S7:S57" si="4">IFERROR(R7/Q7-1,"-")</f>
        <v>-1.924989473521066E-2</v>
      </c>
      <c r="T7" s="166">
        <f t="shared" si="1"/>
        <v>-7452</v>
      </c>
      <c r="U7" s="167">
        <f t="shared" ref="U7:U57" si="5">IFERROR(P7/$P$6,"-")</f>
        <v>0.79756370058024295</v>
      </c>
      <c r="V7" s="167">
        <f>IFERROR(R7/R6,"-")</f>
        <v>0.76957863073230848</v>
      </c>
    </row>
    <row r="8" spans="1:22" x14ac:dyDescent="0.25">
      <c r="B8" s="123" t="s">
        <v>142</v>
      </c>
      <c r="C8" s="70">
        <v>856735</v>
      </c>
      <c r="D8" s="70">
        <v>1101788</v>
      </c>
      <c r="E8" s="70">
        <v>2565617</v>
      </c>
      <c r="F8" s="70">
        <v>2798721</v>
      </c>
      <c r="G8" s="70">
        <v>2955884</v>
      </c>
      <c r="H8" s="70">
        <v>2877891</v>
      </c>
      <c r="I8" s="124">
        <f t="shared" si="2"/>
        <v>-2.6385676839821848E-2</v>
      </c>
      <c r="J8" s="70">
        <f t="shared" si="3"/>
        <v>-77993</v>
      </c>
      <c r="K8" s="124">
        <f t="shared" si="0"/>
        <v>0.63040654876580871</v>
      </c>
      <c r="L8" s="124">
        <f>H8/H6</f>
        <v>0.63040654876580871</v>
      </c>
      <c r="M8" s="70">
        <v>61078</v>
      </c>
      <c r="N8" s="70">
        <v>245410</v>
      </c>
      <c r="O8" s="70">
        <v>285847</v>
      </c>
      <c r="P8" s="70">
        <v>310856</v>
      </c>
      <c r="Q8" s="70">
        <v>321272</v>
      </c>
      <c r="R8" s="70">
        <v>311778</v>
      </c>
      <c r="S8" s="124">
        <f t="shared" si="4"/>
        <v>-2.9551283647501148E-2</v>
      </c>
      <c r="T8" s="70">
        <f t="shared" si="1"/>
        <v>-9494</v>
      </c>
      <c r="U8" s="124">
        <f t="shared" si="5"/>
        <v>0.65901348105465563</v>
      </c>
      <c r="V8" s="124">
        <f>IFERROR(R8/R6,"-")</f>
        <v>0.63196876824284876</v>
      </c>
    </row>
    <row r="9" spans="1:22" x14ac:dyDescent="0.25">
      <c r="B9" s="123" t="s">
        <v>144</v>
      </c>
      <c r="C9" s="70">
        <v>218294</v>
      </c>
      <c r="D9" s="70">
        <v>234168</v>
      </c>
      <c r="E9" s="70">
        <v>550405</v>
      </c>
      <c r="F9" s="70">
        <v>609467</v>
      </c>
      <c r="G9" s="70">
        <v>629259</v>
      </c>
      <c r="H9" s="70">
        <v>631127</v>
      </c>
      <c r="I9" s="124">
        <f t="shared" si="2"/>
        <v>2.9685709699820428E-3</v>
      </c>
      <c r="J9" s="70">
        <f t="shared" si="3"/>
        <v>1868</v>
      </c>
      <c r="K9" s="124">
        <f t="shared" si="0"/>
        <v>0.1382493617384809</v>
      </c>
      <c r="L9" s="124">
        <f>H9/H6</f>
        <v>0.1382493617384809</v>
      </c>
      <c r="M9" s="70">
        <v>11637</v>
      </c>
      <c r="N9" s="70">
        <v>52134</v>
      </c>
      <c r="O9" s="70">
        <v>59916</v>
      </c>
      <c r="P9" s="70">
        <v>65354</v>
      </c>
      <c r="Q9" s="70">
        <v>65847</v>
      </c>
      <c r="R9" s="70">
        <v>67889</v>
      </c>
      <c r="S9" s="124">
        <f t="shared" si="4"/>
        <v>3.1011283733503481E-2</v>
      </c>
      <c r="T9" s="70">
        <f t="shared" si="1"/>
        <v>2042</v>
      </c>
      <c r="U9" s="124">
        <f t="shared" si="5"/>
        <v>0.1385502195255873</v>
      </c>
      <c r="V9" s="124">
        <f>IFERROR(R9/R6,"-")</f>
        <v>0.13760986248945969</v>
      </c>
    </row>
    <row r="10" spans="1:22" ht="16.5" thickBot="1" x14ac:dyDescent="0.3">
      <c r="B10" s="168" t="s">
        <v>65</v>
      </c>
      <c r="C10" s="169">
        <v>326656</v>
      </c>
      <c r="D10" s="169">
        <v>343001</v>
      </c>
      <c r="E10" s="169">
        <v>808801</v>
      </c>
      <c r="F10" s="169">
        <v>912644</v>
      </c>
      <c r="G10" s="169">
        <v>1003054</v>
      </c>
      <c r="H10" s="169">
        <v>1056117</v>
      </c>
      <c r="I10" s="170">
        <f t="shared" si="2"/>
        <v>5.2901439005277773E-2</v>
      </c>
      <c r="J10" s="169">
        <f t="shared" si="3"/>
        <v>53063</v>
      </c>
      <c r="K10" s="170">
        <f t="shared" si="0"/>
        <v>0.23134408949571042</v>
      </c>
      <c r="L10" s="170">
        <f>H10/H6</f>
        <v>0.23134408949571042</v>
      </c>
      <c r="M10" s="169">
        <v>23505</v>
      </c>
      <c r="N10" s="169">
        <v>69444</v>
      </c>
      <c r="O10" s="169">
        <v>86975</v>
      </c>
      <c r="P10" s="169">
        <v>95489</v>
      </c>
      <c r="Q10" s="169">
        <v>105460</v>
      </c>
      <c r="R10" s="169">
        <v>113677</v>
      </c>
      <c r="S10" s="170">
        <f t="shared" si="4"/>
        <v>7.7915797458752101E-2</v>
      </c>
      <c r="T10" s="169">
        <f t="shared" si="1"/>
        <v>8217</v>
      </c>
      <c r="U10" s="170">
        <f t="shared" si="5"/>
        <v>0.2024362994197571</v>
      </c>
      <c r="V10" s="170">
        <f>IFERROR(R10/R6,"-")</f>
        <v>0.23042136926769152</v>
      </c>
    </row>
    <row r="11" spans="1:22" ht="15.75" x14ac:dyDescent="0.25">
      <c r="A11" s="171">
        <f>G11/$G$11</f>
        <v>1</v>
      </c>
      <c r="B11" s="161" t="s">
        <v>46</v>
      </c>
      <c r="C11" s="162">
        <v>464064</v>
      </c>
      <c r="D11" s="162">
        <v>644673</v>
      </c>
      <c r="E11" s="162">
        <v>1457395</v>
      </c>
      <c r="F11" s="162">
        <v>1572308</v>
      </c>
      <c r="G11" s="162">
        <v>1622538</v>
      </c>
      <c r="H11" s="162">
        <v>1550198</v>
      </c>
      <c r="I11" s="163">
        <f t="shared" si="2"/>
        <v>-4.4584471981549911E-2</v>
      </c>
      <c r="J11" s="162">
        <f t="shared" si="3"/>
        <v>-72340</v>
      </c>
      <c r="K11" s="163">
        <f t="shared" si="0"/>
        <v>0.33957330944210851</v>
      </c>
      <c r="L11" s="164">
        <f>H11/H11</f>
        <v>1</v>
      </c>
      <c r="M11" s="162">
        <v>29818</v>
      </c>
      <c r="N11" s="162">
        <v>139108</v>
      </c>
      <c r="O11" s="162">
        <v>159273</v>
      </c>
      <c r="P11" s="162">
        <v>172251</v>
      </c>
      <c r="Q11" s="162">
        <v>172855</v>
      </c>
      <c r="R11" s="162">
        <v>169755</v>
      </c>
      <c r="S11" s="163">
        <f t="shared" si="4"/>
        <v>-1.7934106621156465E-2</v>
      </c>
      <c r="T11" s="162">
        <f t="shared" si="1"/>
        <v>-3100</v>
      </c>
      <c r="U11" s="163">
        <f t="shared" si="5"/>
        <v>0.36517143347770509</v>
      </c>
      <c r="V11" s="164">
        <f>IFERROR(R11/R11,"-")</f>
        <v>1</v>
      </c>
    </row>
    <row r="12" spans="1:22" ht="15.75" x14ac:dyDescent="0.25">
      <c r="A12" s="171">
        <f>G12/$G$11</f>
        <v>0.81383301962727528</v>
      </c>
      <c r="B12" s="165" t="s">
        <v>62</v>
      </c>
      <c r="C12" s="166">
        <v>375814</v>
      </c>
      <c r="D12" s="166">
        <v>547654</v>
      </c>
      <c r="E12" s="166">
        <v>1242545</v>
      </c>
      <c r="F12" s="166">
        <v>1288547</v>
      </c>
      <c r="G12" s="166">
        <v>1320475</v>
      </c>
      <c r="H12" s="166">
        <v>1231678</v>
      </c>
      <c r="I12" s="167">
        <f t="shared" si="2"/>
        <v>-6.7246256082091671E-2</v>
      </c>
      <c r="J12" s="166">
        <f t="shared" si="3"/>
        <v>-88797</v>
      </c>
      <c r="K12" s="167">
        <f t="shared" si="0"/>
        <v>0.26980100259904688</v>
      </c>
      <c r="L12" s="167">
        <f>H12/H11</f>
        <v>0.79452947300925425</v>
      </c>
      <c r="M12" s="166">
        <v>23037</v>
      </c>
      <c r="N12" s="166">
        <v>122247</v>
      </c>
      <c r="O12" s="166">
        <v>135198</v>
      </c>
      <c r="P12" s="166">
        <v>143593</v>
      </c>
      <c r="Q12" s="166">
        <v>140283</v>
      </c>
      <c r="R12" s="166">
        <v>134357</v>
      </c>
      <c r="S12" s="167">
        <f t="shared" si="4"/>
        <v>-4.2243179857858748E-2</v>
      </c>
      <c r="T12" s="166">
        <f t="shared" si="1"/>
        <v>-5926</v>
      </c>
      <c r="U12" s="167">
        <f t="shared" si="5"/>
        <v>0.30441658769681512</v>
      </c>
      <c r="V12" s="167">
        <f>IFERROR(R12/R11,"-")</f>
        <v>0.7914759506347383</v>
      </c>
    </row>
    <row r="13" spans="1:22" x14ac:dyDescent="0.25">
      <c r="A13" s="171">
        <f>G13/$G$11</f>
        <v>0.73478279091152254</v>
      </c>
      <c r="B13" s="123" t="s">
        <v>142</v>
      </c>
      <c r="C13" s="70">
        <v>335669</v>
      </c>
      <c r="D13" s="70">
        <v>506074</v>
      </c>
      <c r="E13" s="70">
        <v>1107316</v>
      </c>
      <c r="F13" s="70">
        <v>1149793</v>
      </c>
      <c r="G13" s="70">
        <v>1192213</v>
      </c>
      <c r="H13" s="70">
        <v>1096330</v>
      </c>
      <c r="I13" s="124">
        <f t="shared" si="2"/>
        <v>-8.0424387252948981E-2</v>
      </c>
      <c r="J13" s="70">
        <f t="shared" si="3"/>
        <v>-95883</v>
      </c>
      <c r="K13" s="124">
        <f t="shared" si="0"/>
        <v>0.24015281037691108</v>
      </c>
      <c r="L13" s="124">
        <f>H13/H11</f>
        <v>0.70721933585258145</v>
      </c>
      <c r="M13" s="70">
        <v>22497</v>
      </c>
      <c r="N13" s="70">
        <v>107685</v>
      </c>
      <c r="O13" s="70">
        <v>119950</v>
      </c>
      <c r="P13" s="70">
        <v>128570</v>
      </c>
      <c r="Q13" s="70">
        <v>127297</v>
      </c>
      <c r="R13" s="70">
        <v>118742</v>
      </c>
      <c r="S13" s="124">
        <f t="shared" si="4"/>
        <v>-6.7205040181622544E-2</v>
      </c>
      <c r="T13" s="70">
        <f t="shared" si="1"/>
        <v>-8555</v>
      </c>
      <c r="U13" s="124">
        <f t="shared" si="5"/>
        <v>0.27256788757237138</v>
      </c>
      <c r="V13" s="124">
        <f>IFERROR(R13/R11,"-")</f>
        <v>0.69949044210774347</v>
      </c>
    </row>
    <row r="14" spans="1:22" x14ac:dyDescent="0.25">
      <c r="A14" s="171">
        <f>G14/$G$11</f>
        <v>7.9050228715752735E-2</v>
      </c>
      <c r="B14" s="123" t="s">
        <v>144</v>
      </c>
      <c r="C14" s="70">
        <v>40145</v>
      </c>
      <c r="D14" s="70">
        <v>41580</v>
      </c>
      <c r="E14" s="70">
        <v>135229</v>
      </c>
      <c r="F14" s="70">
        <v>138754</v>
      </c>
      <c r="G14" s="70">
        <v>128262</v>
      </c>
      <c r="H14" s="70">
        <v>135348</v>
      </c>
      <c r="I14" s="124">
        <f t="shared" si="2"/>
        <v>5.5246292744538517E-2</v>
      </c>
      <c r="J14" s="70">
        <f t="shared" si="3"/>
        <v>7086</v>
      </c>
      <c r="K14" s="124">
        <f t="shared" si="0"/>
        <v>2.9648192222135817E-2</v>
      </c>
      <c r="L14" s="124">
        <f>H14/H11</f>
        <v>8.7310137156672893E-2</v>
      </c>
      <c r="M14" s="70">
        <v>540</v>
      </c>
      <c r="N14" s="70">
        <v>14562</v>
      </c>
      <c r="O14" s="70">
        <v>15248</v>
      </c>
      <c r="P14" s="70">
        <v>15023</v>
      </c>
      <c r="Q14" s="70">
        <v>12986</v>
      </c>
      <c r="R14" s="70">
        <v>15615</v>
      </c>
      <c r="S14" s="124">
        <f t="shared" si="4"/>
        <v>0.20244879100569846</v>
      </c>
      <c r="T14" s="70">
        <f t="shared" si="1"/>
        <v>2629</v>
      </c>
      <c r="U14" s="124">
        <f t="shared" si="5"/>
        <v>3.1848700124443768E-2</v>
      </c>
      <c r="V14" s="124">
        <f>IFERROR(R14/R11,"-")</f>
        <v>9.1985508526994789E-2</v>
      </c>
    </row>
    <row r="15" spans="1:22" ht="16.5" thickBot="1" x14ac:dyDescent="0.3">
      <c r="A15" s="171">
        <f>G15/$G$11</f>
        <v>0.18616698037272469</v>
      </c>
      <c r="B15" s="168" t="s">
        <v>65</v>
      </c>
      <c r="C15" s="169">
        <v>88250</v>
      </c>
      <c r="D15" s="169">
        <v>97019</v>
      </c>
      <c r="E15" s="169">
        <v>214850</v>
      </c>
      <c r="F15" s="169">
        <v>283761</v>
      </c>
      <c r="G15" s="169">
        <v>302063</v>
      </c>
      <c r="H15" s="169">
        <v>318520</v>
      </c>
      <c r="I15" s="170">
        <f t="shared" si="2"/>
        <v>5.4482012030602878E-2</v>
      </c>
      <c r="J15" s="169">
        <f t="shared" si="3"/>
        <v>16457</v>
      </c>
      <c r="K15" s="170">
        <f t="shared" si="0"/>
        <v>6.9772306843061599E-2</v>
      </c>
      <c r="L15" s="170">
        <f>H15/H11</f>
        <v>0.20547052699074569</v>
      </c>
      <c r="M15" s="169">
        <v>6781</v>
      </c>
      <c r="N15" s="169">
        <v>16861</v>
      </c>
      <c r="O15" s="169">
        <v>24075</v>
      </c>
      <c r="P15" s="169">
        <v>28658</v>
      </c>
      <c r="Q15" s="169">
        <v>32572</v>
      </c>
      <c r="R15" s="169">
        <v>35398</v>
      </c>
      <c r="S15" s="170">
        <f t="shared" si="4"/>
        <v>8.6761635760776112E-2</v>
      </c>
      <c r="T15" s="169">
        <f t="shared" si="1"/>
        <v>2826</v>
      </c>
      <c r="U15" s="170">
        <f t="shared" si="5"/>
        <v>6.0754845780889931E-2</v>
      </c>
      <c r="V15" s="170">
        <f>IFERROR(R15/R11,"-")</f>
        <v>0.2085240493652617</v>
      </c>
    </row>
    <row r="16" spans="1:22" ht="15.75" x14ac:dyDescent="0.25">
      <c r="A16" s="103"/>
      <c r="B16" s="161" t="s">
        <v>47</v>
      </c>
      <c r="C16" s="162">
        <v>319934</v>
      </c>
      <c r="D16" s="162">
        <v>324977</v>
      </c>
      <c r="E16" s="162">
        <v>1027252</v>
      </c>
      <c r="F16" s="162">
        <v>1094360</v>
      </c>
      <c r="G16" s="162">
        <v>1158457</v>
      </c>
      <c r="H16" s="162">
        <v>1192132</v>
      </c>
      <c r="I16" s="163">
        <f t="shared" si="2"/>
        <v>2.906883898150725E-2</v>
      </c>
      <c r="J16" s="162">
        <f t="shared" si="3"/>
        <v>33675</v>
      </c>
      <c r="K16" s="163">
        <f t="shared" si="0"/>
        <v>0.26113838911664167</v>
      </c>
      <c r="L16" s="164">
        <f>H16/H16</f>
        <v>1</v>
      </c>
      <c r="M16" s="162">
        <v>21674</v>
      </c>
      <c r="N16" s="162">
        <v>89457</v>
      </c>
      <c r="O16" s="162">
        <v>113209</v>
      </c>
      <c r="P16" s="162">
        <v>119521</v>
      </c>
      <c r="Q16" s="162">
        <v>125080</v>
      </c>
      <c r="R16" s="162">
        <v>130415</v>
      </c>
      <c r="S16" s="163">
        <f t="shared" si="4"/>
        <v>4.2652702270546961E-2</v>
      </c>
      <c r="T16" s="162">
        <f t="shared" si="1"/>
        <v>5335</v>
      </c>
      <c r="U16" s="163">
        <f t="shared" si="5"/>
        <v>0.25338404363799794</v>
      </c>
      <c r="V16" s="164">
        <f>IFERROR(R16/R16,"-")</f>
        <v>1</v>
      </c>
    </row>
    <row r="17" spans="2:22" ht="15.75" x14ac:dyDescent="0.25">
      <c r="B17" s="165" t="s">
        <v>62</v>
      </c>
      <c r="C17" s="166">
        <v>179799</v>
      </c>
      <c r="D17" s="166">
        <v>158744</v>
      </c>
      <c r="E17" s="166">
        <v>618226</v>
      </c>
      <c r="F17" s="166">
        <v>671817</v>
      </c>
      <c r="G17" s="166">
        <v>719190</v>
      </c>
      <c r="H17" s="166">
        <v>735655</v>
      </c>
      <c r="I17" s="167">
        <f t="shared" si="2"/>
        <v>2.2893811093035232E-2</v>
      </c>
      <c r="J17" s="166">
        <f t="shared" si="3"/>
        <v>16465</v>
      </c>
      <c r="K17" s="167">
        <f t="shared" si="0"/>
        <v>0.16114638449903454</v>
      </c>
      <c r="L17" s="167">
        <f>H17/H16</f>
        <v>0.61709189921921404</v>
      </c>
      <c r="M17" s="166">
        <v>9727</v>
      </c>
      <c r="N17" s="166">
        <v>54024</v>
      </c>
      <c r="O17" s="166">
        <v>71237</v>
      </c>
      <c r="P17" s="166">
        <v>73508</v>
      </c>
      <c r="Q17" s="166">
        <v>79884</v>
      </c>
      <c r="R17" s="166">
        <v>81692</v>
      </c>
      <c r="S17" s="167">
        <f t="shared" si="4"/>
        <v>2.2632817585499065E-2</v>
      </c>
      <c r="T17" s="166">
        <f t="shared" si="1"/>
        <v>1808</v>
      </c>
      <c r="U17" s="167">
        <f t="shared" si="5"/>
        <v>0.155836667027066</v>
      </c>
      <c r="V17" s="167">
        <f>IFERROR(R17/R16,"-")</f>
        <v>0.62640033738450329</v>
      </c>
    </row>
    <row r="18" spans="2:22" x14ac:dyDescent="0.25">
      <c r="B18" s="123" t="s">
        <v>142</v>
      </c>
      <c r="C18" s="70">
        <v>132244</v>
      </c>
      <c r="D18" s="70">
        <v>129922</v>
      </c>
      <c r="E18" s="70">
        <v>470401</v>
      </c>
      <c r="F18" s="70">
        <v>508477</v>
      </c>
      <c r="G18" s="70">
        <v>543447</v>
      </c>
      <c r="H18" s="70">
        <v>578579</v>
      </c>
      <c r="I18" s="124">
        <f t="shared" si="2"/>
        <v>6.4646598472344108E-2</v>
      </c>
      <c r="J18" s="70">
        <f t="shared" si="3"/>
        <v>35132</v>
      </c>
      <c r="K18" s="124">
        <f t="shared" si="0"/>
        <v>0.12673863971164051</v>
      </c>
      <c r="L18" s="124">
        <f>H18/H16</f>
        <v>0.48533132237034154</v>
      </c>
      <c r="M18" s="70">
        <v>8213</v>
      </c>
      <c r="N18" s="70">
        <v>43604</v>
      </c>
      <c r="O18" s="70">
        <v>54881</v>
      </c>
      <c r="P18" s="70">
        <v>55616</v>
      </c>
      <c r="Q18" s="70">
        <v>61026</v>
      </c>
      <c r="R18" s="70">
        <v>65285</v>
      </c>
      <c r="S18" s="124">
        <f t="shared" si="4"/>
        <v>6.9789925605479697E-2</v>
      </c>
      <c r="T18" s="70">
        <f t="shared" si="1"/>
        <v>4259</v>
      </c>
      <c r="U18" s="124">
        <f t="shared" si="5"/>
        <v>0.11790569833728713</v>
      </c>
      <c r="V18" s="124">
        <f>IFERROR(R18/R16,"-")</f>
        <v>0.50059425679561398</v>
      </c>
    </row>
    <row r="19" spans="2:22" x14ac:dyDescent="0.25">
      <c r="B19" s="123" t="s">
        <v>144</v>
      </c>
      <c r="C19" s="70">
        <v>47555</v>
      </c>
      <c r="D19" s="70">
        <v>28822</v>
      </c>
      <c r="E19" s="70">
        <v>147825</v>
      </c>
      <c r="F19" s="70">
        <v>163340</v>
      </c>
      <c r="G19" s="70">
        <v>175743</v>
      </c>
      <c r="H19" s="70">
        <v>157076</v>
      </c>
      <c r="I19" s="124">
        <f t="shared" si="2"/>
        <v>-0.10621760183904905</v>
      </c>
      <c r="J19" s="70">
        <f t="shared" si="3"/>
        <v>-18667</v>
      </c>
      <c r="K19" s="124">
        <f t="shared" si="0"/>
        <v>3.4407744787394022E-2</v>
      </c>
      <c r="L19" s="124">
        <f>H19/H16</f>
        <v>0.13176057684887243</v>
      </c>
      <c r="M19" s="70">
        <v>1514</v>
      </c>
      <c r="N19" s="70">
        <v>10420</v>
      </c>
      <c r="O19" s="70">
        <v>16356</v>
      </c>
      <c r="P19" s="70">
        <v>17892</v>
      </c>
      <c r="Q19" s="70">
        <v>18858</v>
      </c>
      <c r="R19" s="70">
        <v>16407</v>
      </c>
      <c r="S19" s="124">
        <f t="shared" si="4"/>
        <v>-0.12997136493795736</v>
      </c>
      <c r="T19" s="70">
        <f t="shared" si="1"/>
        <v>-2451</v>
      </c>
      <c r="U19" s="124">
        <f t="shared" si="5"/>
        <v>3.7930968689778861E-2</v>
      </c>
      <c r="V19" s="124">
        <f>IFERROR(R19/R16,"-")</f>
        <v>0.12580608058888931</v>
      </c>
    </row>
    <row r="20" spans="2:22" ht="16.5" thickBot="1" x14ac:dyDescent="0.3">
      <c r="B20" s="168" t="s">
        <v>65</v>
      </c>
      <c r="C20" s="169">
        <v>140135</v>
      </c>
      <c r="D20" s="169">
        <v>166233</v>
      </c>
      <c r="E20" s="169">
        <v>409026</v>
      </c>
      <c r="F20" s="169">
        <v>422543</v>
      </c>
      <c r="G20" s="169">
        <v>439267</v>
      </c>
      <c r="H20" s="169">
        <v>456477</v>
      </c>
      <c r="I20" s="170">
        <f t="shared" si="2"/>
        <v>3.9178904857410268E-2</v>
      </c>
      <c r="J20" s="169">
        <f t="shared" si="3"/>
        <v>17210</v>
      </c>
      <c r="K20" s="170">
        <f t="shared" si="0"/>
        <v>9.9992004617607141E-2</v>
      </c>
      <c r="L20" s="170">
        <f>H20/H16</f>
        <v>0.38290810078078602</v>
      </c>
      <c r="M20" s="169">
        <v>11947</v>
      </c>
      <c r="N20" s="169">
        <v>35433</v>
      </c>
      <c r="O20" s="169">
        <v>41972</v>
      </c>
      <c r="P20" s="169">
        <v>46013</v>
      </c>
      <c r="Q20" s="169">
        <v>45196</v>
      </c>
      <c r="R20" s="169">
        <v>48723</v>
      </c>
      <c r="S20" s="170">
        <f t="shared" si="4"/>
        <v>7.8037879458359161E-2</v>
      </c>
      <c r="T20" s="169">
        <f t="shared" si="1"/>
        <v>3527</v>
      </c>
      <c r="U20" s="170">
        <f t="shared" si="5"/>
        <v>9.7547376610931977E-2</v>
      </c>
      <c r="V20" s="170">
        <f>IFERROR(R20/R16,"-")</f>
        <v>0.37359966261549671</v>
      </c>
    </row>
    <row r="21" spans="2:22" ht="15.75" x14ac:dyDescent="0.25">
      <c r="B21" s="161" t="s">
        <v>48</v>
      </c>
      <c r="C21" s="162">
        <v>11628</v>
      </c>
      <c r="D21" s="162">
        <v>14685</v>
      </c>
      <c r="E21" s="162">
        <v>29058</v>
      </c>
      <c r="F21" s="162">
        <v>41308</v>
      </c>
      <c r="G21" s="162">
        <v>35995</v>
      </c>
      <c r="H21" s="162">
        <v>36061</v>
      </c>
      <c r="I21" s="163">
        <f t="shared" si="2"/>
        <v>1.8335879983331083E-3</v>
      </c>
      <c r="J21" s="162">
        <f t="shared" si="3"/>
        <v>66</v>
      </c>
      <c r="K21" s="163">
        <f t="shared" si="0"/>
        <v>7.89921875256701E-3</v>
      </c>
      <c r="L21" s="164">
        <f>H21/H21</f>
        <v>1</v>
      </c>
      <c r="M21" s="162">
        <v>283</v>
      </c>
      <c r="N21" s="162">
        <v>3184</v>
      </c>
      <c r="O21" s="162">
        <v>3407</v>
      </c>
      <c r="P21" s="162">
        <v>4248</v>
      </c>
      <c r="Q21" s="162">
        <v>3960</v>
      </c>
      <c r="R21" s="162">
        <v>4094</v>
      </c>
      <c r="S21" s="163">
        <f t="shared" si="4"/>
        <v>3.3838383838383779E-2</v>
      </c>
      <c r="T21" s="162">
        <f t="shared" si="1"/>
        <v>134</v>
      </c>
      <c r="U21" s="163">
        <f t="shared" si="5"/>
        <v>9.0057430692030305E-3</v>
      </c>
      <c r="V21" s="164">
        <f>IFERROR(R21/R21,"-")</f>
        <v>1</v>
      </c>
    </row>
    <row r="22" spans="2:22" ht="15.75" x14ac:dyDescent="0.25">
      <c r="B22" s="165" t="s">
        <v>62</v>
      </c>
      <c r="C22" s="166">
        <v>9750</v>
      </c>
      <c r="D22" s="166">
        <v>14685</v>
      </c>
      <c r="E22" s="166">
        <v>29058</v>
      </c>
      <c r="F22" s="166">
        <v>40794</v>
      </c>
      <c r="G22" s="166">
        <v>35457</v>
      </c>
      <c r="H22" s="166">
        <v>35550</v>
      </c>
      <c r="I22" s="167">
        <f t="shared" si="2"/>
        <v>2.6228953380149633E-3</v>
      </c>
      <c r="J22" s="166">
        <f t="shared" si="3"/>
        <v>93</v>
      </c>
      <c r="K22" s="167">
        <f t="shared" si="0"/>
        <v>7.7872833990670597E-3</v>
      </c>
      <c r="L22" s="167">
        <f>H22/H21</f>
        <v>0.98582956656776022</v>
      </c>
      <c r="M22" s="166">
        <v>283</v>
      </c>
      <c r="N22" s="166">
        <v>3184</v>
      </c>
      <c r="O22" s="166">
        <v>3407</v>
      </c>
      <c r="P22" s="166">
        <v>4198</v>
      </c>
      <c r="Q22" s="166">
        <v>3898</v>
      </c>
      <c r="R22" s="166">
        <v>4060</v>
      </c>
      <c r="S22" s="167">
        <f t="shared" si="4"/>
        <v>4.1559774243201675E-2</v>
      </c>
      <c r="T22" s="166">
        <f t="shared" si="1"/>
        <v>162</v>
      </c>
      <c r="U22" s="167">
        <f t="shared" si="5"/>
        <v>8.8997432684826544E-3</v>
      </c>
      <c r="V22" s="167">
        <f>IFERROR(R22/R21,"-")</f>
        <v>0.99169516365412802</v>
      </c>
    </row>
    <row r="23" spans="2:22" x14ac:dyDescent="0.25">
      <c r="B23" s="123" t="s">
        <v>142</v>
      </c>
      <c r="C23" s="70">
        <v>0</v>
      </c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124" t="str">
        <f t="shared" si="2"/>
        <v>-</v>
      </c>
      <c r="J23" s="70">
        <f t="shared" si="3"/>
        <v>0</v>
      </c>
      <c r="K23" s="124">
        <f t="shared" si="0"/>
        <v>0</v>
      </c>
      <c r="L23" s="124">
        <f>H23/H21</f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70">
        <v>0</v>
      </c>
      <c r="S23" s="124" t="str">
        <f t="shared" si="4"/>
        <v>-</v>
      </c>
      <c r="T23" s="70">
        <f t="shared" si="1"/>
        <v>0</v>
      </c>
      <c r="U23" s="124">
        <f t="shared" si="5"/>
        <v>0</v>
      </c>
      <c r="V23" s="124">
        <f>IFERROR(R23/R21,"-")</f>
        <v>0</v>
      </c>
    </row>
    <row r="24" spans="2:22" x14ac:dyDescent="0.25">
      <c r="B24" s="123" t="s">
        <v>144</v>
      </c>
      <c r="C24" s="70">
        <v>1558</v>
      </c>
      <c r="D24" s="70">
        <v>3463</v>
      </c>
      <c r="E24" s="70">
        <v>0</v>
      </c>
      <c r="F24" s="70">
        <v>0</v>
      </c>
      <c r="G24" s="70">
        <v>0</v>
      </c>
      <c r="H24" s="70">
        <v>0</v>
      </c>
      <c r="I24" s="124" t="str">
        <f t="shared" si="2"/>
        <v>-</v>
      </c>
      <c r="J24" s="70">
        <f t="shared" si="3"/>
        <v>0</v>
      </c>
      <c r="K24" s="124">
        <f t="shared" si="0"/>
        <v>0</v>
      </c>
      <c r="L24" s="124">
        <f>H24/H21</f>
        <v>0</v>
      </c>
      <c r="M24" s="70">
        <v>283</v>
      </c>
      <c r="N24" s="70">
        <v>0</v>
      </c>
      <c r="O24" s="70">
        <v>0</v>
      </c>
      <c r="P24" s="70">
        <v>0</v>
      </c>
      <c r="Q24" s="70">
        <v>0</v>
      </c>
      <c r="R24" s="70">
        <v>0</v>
      </c>
      <c r="S24" s="124" t="str">
        <f t="shared" si="4"/>
        <v>-</v>
      </c>
      <c r="T24" s="70">
        <f t="shared" si="1"/>
        <v>0</v>
      </c>
      <c r="U24" s="124">
        <f t="shared" si="5"/>
        <v>0</v>
      </c>
      <c r="V24" s="124">
        <f>IFERROR(R24/R21,"-")</f>
        <v>0</v>
      </c>
    </row>
    <row r="25" spans="2:22" ht="16.5" thickBot="1" x14ac:dyDescent="0.3">
      <c r="B25" s="168" t="s">
        <v>65</v>
      </c>
      <c r="C25" s="169">
        <v>1878</v>
      </c>
      <c r="D25" s="169">
        <v>0</v>
      </c>
      <c r="E25" s="169">
        <v>0</v>
      </c>
      <c r="F25" s="169">
        <v>0</v>
      </c>
      <c r="G25" s="169">
        <v>0</v>
      </c>
      <c r="H25" s="169">
        <v>0</v>
      </c>
      <c r="I25" s="170" t="str">
        <f t="shared" si="2"/>
        <v>-</v>
      </c>
      <c r="J25" s="169">
        <f t="shared" si="3"/>
        <v>0</v>
      </c>
      <c r="K25" s="170">
        <f t="shared" si="0"/>
        <v>0</v>
      </c>
      <c r="L25" s="170">
        <f>H25/H21</f>
        <v>0</v>
      </c>
      <c r="M25" s="169">
        <v>0</v>
      </c>
      <c r="N25" s="169">
        <v>0</v>
      </c>
      <c r="O25" s="169">
        <v>0</v>
      </c>
      <c r="P25" s="169">
        <v>0</v>
      </c>
      <c r="Q25" s="169">
        <v>0</v>
      </c>
      <c r="R25" s="169">
        <v>0</v>
      </c>
      <c r="S25" s="170" t="str">
        <f t="shared" si="4"/>
        <v>-</v>
      </c>
      <c r="T25" s="169">
        <f t="shared" si="1"/>
        <v>0</v>
      </c>
      <c r="U25" s="170">
        <f t="shared" si="5"/>
        <v>0</v>
      </c>
      <c r="V25" s="170">
        <f>IFERROR(R25/R21,"-")</f>
        <v>0</v>
      </c>
    </row>
    <row r="26" spans="2:22" ht="15.75" x14ac:dyDescent="0.25">
      <c r="B26" s="161" t="s">
        <v>49</v>
      </c>
      <c r="C26" s="162">
        <v>41527</v>
      </c>
      <c r="D26" s="162">
        <v>47843</v>
      </c>
      <c r="E26" s="162">
        <v>132337</v>
      </c>
      <c r="F26" s="162">
        <v>154946</v>
      </c>
      <c r="G26" s="162">
        <v>200452</v>
      </c>
      <c r="H26" s="162">
        <v>158521</v>
      </c>
      <c r="I26" s="163">
        <f t="shared" si="2"/>
        <v>-0.20918224811925046</v>
      </c>
      <c r="J26" s="162">
        <f t="shared" si="3"/>
        <v>-41931</v>
      </c>
      <c r="K26" s="163">
        <f t="shared" si="0"/>
        <v>3.472427430952206E-2</v>
      </c>
      <c r="L26" s="164">
        <f>H26/H26</f>
        <v>1</v>
      </c>
      <c r="M26" s="162">
        <v>4583</v>
      </c>
      <c r="N26" s="162">
        <v>13659</v>
      </c>
      <c r="O26" s="162">
        <v>14777</v>
      </c>
      <c r="P26" s="162">
        <v>17351</v>
      </c>
      <c r="Q26" s="162">
        <v>24595</v>
      </c>
      <c r="R26" s="162">
        <v>16756</v>
      </c>
      <c r="S26" s="163">
        <f t="shared" si="4"/>
        <v>-0.31872331774750962</v>
      </c>
      <c r="T26" s="162">
        <f t="shared" si="1"/>
        <v>-7839</v>
      </c>
      <c r="U26" s="163">
        <f t="shared" si="5"/>
        <v>3.6784050845984406E-2</v>
      </c>
      <c r="V26" s="164">
        <f>IFERROR(R26/R26,"-")</f>
        <v>1</v>
      </c>
    </row>
    <row r="27" spans="2:22" ht="15.75" x14ac:dyDescent="0.25">
      <c r="B27" s="165" t="s">
        <v>62</v>
      </c>
      <c r="C27" s="166">
        <v>40665</v>
      </c>
      <c r="D27" s="166">
        <v>44291</v>
      </c>
      <c r="E27" s="166">
        <v>124085</v>
      </c>
      <c r="F27" s="166">
        <v>147548</v>
      </c>
      <c r="G27" s="166">
        <v>167311</v>
      </c>
      <c r="H27" s="166">
        <v>127098</v>
      </c>
      <c r="I27" s="167">
        <f t="shared" si="2"/>
        <v>-0.24034881149476128</v>
      </c>
      <c r="J27" s="166">
        <f t="shared" si="3"/>
        <v>-40213</v>
      </c>
      <c r="K27" s="167">
        <f t="shared" si="0"/>
        <v>2.7841016749778486E-2</v>
      </c>
      <c r="L27" s="167">
        <f>H27/H26</f>
        <v>0.80177389746468919</v>
      </c>
      <c r="M27" s="166">
        <v>4531</v>
      </c>
      <c r="N27" s="166">
        <v>11557</v>
      </c>
      <c r="O27" s="166">
        <v>13795</v>
      </c>
      <c r="P27" s="166">
        <v>16481</v>
      </c>
      <c r="Q27" s="166">
        <v>21060</v>
      </c>
      <c r="R27" s="166">
        <v>13418</v>
      </c>
      <c r="S27" s="167">
        <f t="shared" si="4"/>
        <v>-0.36286799620132959</v>
      </c>
      <c r="T27" s="166">
        <f t="shared" si="1"/>
        <v>-7642</v>
      </c>
      <c r="U27" s="167">
        <f t="shared" si="5"/>
        <v>3.4939654313449892E-2</v>
      </c>
      <c r="V27" s="167">
        <f>IFERROR(R27/R26,"-")</f>
        <v>0.80078777751253283</v>
      </c>
    </row>
    <row r="28" spans="2:22" x14ac:dyDescent="0.25">
      <c r="B28" s="123" t="s">
        <v>142</v>
      </c>
      <c r="C28" s="70">
        <v>27988</v>
      </c>
      <c r="D28" s="70">
        <v>44291</v>
      </c>
      <c r="E28" s="70">
        <v>0</v>
      </c>
      <c r="F28" s="70">
        <v>86395</v>
      </c>
      <c r="G28" s="70">
        <v>0</v>
      </c>
      <c r="H28" s="70">
        <v>0</v>
      </c>
      <c r="I28" s="124" t="str">
        <f t="shared" si="2"/>
        <v>-</v>
      </c>
      <c r="J28" s="70">
        <f t="shared" si="3"/>
        <v>0</v>
      </c>
      <c r="K28" s="124">
        <f t="shared" si="0"/>
        <v>0</v>
      </c>
      <c r="L28" s="124">
        <f>H28/H26</f>
        <v>0</v>
      </c>
      <c r="M28" s="70">
        <v>0</v>
      </c>
      <c r="N28" s="70">
        <v>11557</v>
      </c>
      <c r="O28" s="70">
        <v>0</v>
      </c>
      <c r="P28" s="70">
        <v>16481</v>
      </c>
      <c r="Q28" s="70">
        <v>0</v>
      </c>
      <c r="R28" s="70">
        <v>0</v>
      </c>
      <c r="S28" s="124" t="str">
        <f t="shared" si="4"/>
        <v>-</v>
      </c>
      <c r="T28" s="70">
        <f t="shared" si="1"/>
        <v>0</v>
      </c>
      <c r="U28" s="124">
        <f t="shared" si="5"/>
        <v>3.4939654313449892E-2</v>
      </c>
      <c r="V28" s="124">
        <f>IFERROR(R28/R26,"-")</f>
        <v>0</v>
      </c>
    </row>
    <row r="29" spans="2:22" ht="15.75" thickBot="1" x14ac:dyDescent="0.3">
      <c r="B29" s="123" t="s">
        <v>144</v>
      </c>
      <c r="C29" s="70">
        <v>1940</v>
      </c>
      <c r="D29" s="70">
        <v>0</v>
      </c>
      <c r="E29" s="70">
        <v>0</v>
      </c>
      <c r="F29" s="70">
        <v>0</v>
      </c>
      <c r="G29" s="70">
        <v>0</v>
      </c>
      <c r="H29" s="70">
        <v>0</v>
      </c>
      <c r="I29" s="124" t="str">
        <f t="shared" si="2"/>
        <v>-</v>
      </c>
      <c r="J29" s="70">
        <f t="shared" si="3"/>
        <v>0</v>
      </c>
      <c r="K29" s="124">
        <f t="shared" si="0"/>
        <v>0</v>
      </c>
      <c r="L29" s="124">
        <f>H29/H26</f>
        <v>0</v>
      </c>
      <c r="M29" s="70">
        <v>0</v>
      </c>
      <c r="N29" s="70">
        <v>0</v>
      </c>
      <c r="O29" s="70">
        <v>0</v>
      </c>
      <c r="P29" s="70">
        <v>0</v>
      </c>
      <c r="Q29" s="70">
        <v>0</v>
      </c>
      <c r="R29" s="70">
        <v>0</v>
      </c>
      <c r="S29" s="124" t="str">
        <f t="shared" si="4"/>
        <v>-</v>
      </c>
      <c r="T29" s="70">
        <f t="shared" si="1"/>
        <v>0</v>
      </c>
      <c r="U29" s="124">
        <f t="shared" si="5"/>
        <v>0</v>
      </c>
      <c r="V29" s="124">
        <f>IFERROR(R29/R26,"-")</f>
        <v>0</v>
      </c>
    </row>
    <row r="30" spans="2:22" ht="15.75" x14ac:dyDescent="0.25">
      <c r="B30" s="161" t="s">
        <v>50</v>
      </c>
      <c r="C30" s="162">
        <v>196369</v>
      </c>
      <c r="D30" s="162">
        <v>262585</v>
      </c>
      <c r="E30" s="162">
        <v>587373</v>
      </c>
      <c r="F30" s="162">
        <v>669254</v>
      </c>
      <c r="G30" s="162">
        <v>773150</v>
      </c>
      <c r="H30" s="162">
        <v>795285</v>
      </c>
      <c r="I30" s="163">
        <f t="shared" si="2"/>
        <v>2.8629632024833374E-2</v>
      </c>
      <c r="J30" s="162">
        <f t="shared" si="3"/>
        <v>22135</v>
      </c>
      <c r="K30" s="163">
        <f t="shared" si="0"/>
        <v>0.17420842976166093</v>
      </c>
      <c r="L30" s="164">
        <f>H30/H30</f>
        <v>1</v>
      </c>
      <c r="M30" s="162">
        <v>14861</v>
      </c>
      <c r="N30" s="162">
        <v>52374</v>
      </c>
      <c r="O30" s="162">
        <v>64171</v>
      </c>
      <c r="P30" s="162">
        <v>70925</v>
      </c>
      <c r="Q30" s="162">
        <v>81853</v>
      </c>
      <c r="R30" s="162">
        <v>83480</v>
      </c>
      <c r="S30" s="163">
        <f t="shared" si="4"/>
        <v>1.9877096746606648E-2</v>
      </c>
      <c r="T30" s="162">
        <f t="shared" si="1"/>
        <v>1627</v>
      </c>
      <c r="U30" s="163">
        <f t="shared" si="5"/>
        <v>0.15036071732185144</v>
      </c>
      <c r="V30" s="164">
        <f>IFERROR(R30/R30,"-")</f>
        <v>1</v>
      </c>
    </row>
    <row r="31" spans="2:22" ht="15.75" x14ac:dyDescent="0.25">
      <c r="B31" s="165" t="s">
        <v>62</v>
      </c>
      <c r="C31" s="166">
        <v>158448</v>
      </c>
      <c r="D31" s="166">
        <v>210744</v>
      </c>
      <c r="E31" s="166">
        <v>474438</v>
      </c>
      <c r="F31" s="166">
        <v>546108</v>
      </c>
      <c r="G31" s="166">
        <v>623726</v>
      </c>
      <c r="H31" s="166">
        <v>630262</v>
      </c>
      <c r="I31" s="167">
        <f t="shared" si="2"/>
        <v>1.0478960312701346E-2</v>
      </c>
      <c r="J31" s="166">
        <f t="shared" si="3"/>
        <v>6536</v>
      </c>
      <c r="K31" s="167">
        <f t="shared" si="0"/>
        <v>0.13805988212834888</v>
      </c>
      <c r="L31" s="167">
        <f>H31/H30</f>
        <v>0.79249828677769607</v>
      </c>
      <c r="M31" s="166">
        <v>10972</v>
      </c>
      <c r="N31" s="166">
        <v>43181</v>
      </c>
      <c r="O31" s="166">
        <v>50768</v>
      </c>
      <c r="P31" s="166">
        <v>58960</v>
      </c>
      <c r="Q31" s="166">
        <v>66534</v>
      </c>
      <c r="R31" s="166">
        <v>66177</v>
      </c>
      <c r="S31" s="167">
        <f t="shared" si="4"/>
        <v>-5.3656776986202859E-3</v>
      </c>
      <c r="T31" s="166">
        <f t="shared" si="1"/>
        <v>-357</v>
      </c>
      <c r="U31" s="167">
        <f t="shared" si="5"/>
        <v>0.12499496500946579</v>
      </c>
      <c r="V31" s="167">
        <f>IFERROR(R31/R30,"-")</f>
        <v>0.79272879731672252</v>
      </c>
    </row>
    <row r="32" spans="2:22" x14ac:dyDescent="0.25">
      <c r="B32" s="123" t="s">
        <v>142</v>
      </c>
      <c r="C32" s="70">
        <v>128814</v>
      </c>
      <c r="D32" s="70">
        <v>157552</v>
      </c>
      <c r="E32" s="70">
        <v>391658</v>
      </c>
      <c r="F32" s="70">
        <v>460097</v>
      </c>
      <c r="G32" s="70">
        <v>525364</v>
      </c>
      <c r="H32" s="70">
        <v>522395</v>
      </c>
      <c r="I32" s="124">
        <f t="shared" si="2"/>
        <v>-5.6513198468109982E-3</v>
      </c>
      <c r="J32" s="70">
        <f t="shared" si="3"/>
        <v>-2969</v>
      </c>
      <c r="K32" s="124">
        <f t="shared" si="0"/>
        <v>0.11443144616752846</v>
      </c>
      <c r="L32" s="124">
        <f>H32/H30</f>
        <v>0.6568651489717523</v>
      </c>
      <c r="M32" s="70">
        <v>8592</v>
      </c>
      <c r="N32" s="70">
        <v>33204</v>
      </c>
      <c r="O32" s="70">
        <v>43447</v>
      </c>
      <c r="P32" s="70">
        <v>50542</v>
      </c>
      <c r="Q32" s="70">
        <v>55323</v>
      </c>
      <c r="R32" s="70">
        <v>54859</v>
      </c>
      <c r="S32" s="124">
        <f t="shared" si="4"/>
        <v>-8.3871084359127268E-3</v>
      </c>
      <c r="T32" s="70">
        <f t="shared" si="1"/>
        <v>-464</v>
      </c>
      <c r="U32" s="124">
        <f t="shared" si="5"/>
        <v>0.10714883856018351</v>
      </c>
      <c r="V32" s="124">
        <f>IFERROR(R32/R30,"-")</f>
        <v>0.65715141351221851</v>
      </c>
    </row>
    <row r="33" spans="2:22" x14ac:dyDescent="0.25">
      <c r="B33" s="123" t="s">
        <v>144</v>
      </c>
      <c r="C33" s="70">
        <v>29634</v>
      </c>
      <c r="D33" s="70">
        <v>53192</v>
      </c>
      <c r="E33" s="70">
        <v>82780</v>
      </c>
      <c r="F33" s="70">
        <v>86011</v>
      </c>
      <c r="G33" s="70">
        <v>98362</v>
      </c>
      <c r="H33" s="70">
        <v>107867</v>
      </c>
      <c r="I33" s="124">
        <f t="shared" si="2"/>
        <v>9.6632846017771001E-2</v>
      </c>
      <c r="J33" s="70">
        <f t="shared" si="3"/>
        <v>9505</v>
      </c>
      <c r="K33" s="124">
        <f t="shared" si="0"/>
        <v>2.3628435960820437E-2</v>
      </c>
      <c r="L33" s="124">
        <f>H33/H30</f>
        <v>0.13563313780594377</v>
      </c>
      <c r="M33" s="70">
        <v>2380</v>
      </c>
      <c r="N33" s="70">
        <v>9977</v>
      </c>
      <c r="O33" s="70">
        <v>7321</v>
      </c>
      <c r="P33" s="70">
        <v>8418</v>
      </c>
      <c r="Q33" s="70">
        <v>11211</v>
      </c>
      <c r="R33" s="70">
        <v>11318</v>
      </c>
      <c r="S33" s="124">
        <f t="shared" si="4"/>
        <v>9.5441976630095127E-3</v>
      </c>
      <c r="T33" s="70">
        <f t="shared" si="1"/>
        <v>107</v>
      </c>
      <c r="U33" s="124">
        <f t="shared" si="5"/>
        <v>1.7846126449282275E-2</v>
      </c>
      <c r="V33" s="124">
        <f>IFERROR(R33/R30,"-")</f>
        <v>0.13557738380450407</v>
      </c>
    </row>
    <row r="34" spans="2:22" ht="16.5" thickBot="1" x14ac:dyDescent="0.3">
      <c r="B34" s="168" t="s">
        <v>65</v>
      </c>
      <c r="C34" s="169">
        <v>37921</v>
      </c>
      <c r="D34" s="169">
        <v>51841</v>
      </c>
      <c r="E34" s="169">
        <v>112935</v>
      </c>
      <c r="F34" s="169">
        <v>123146</v>
      </c>
      <c r="G34" s="169">
        <v>149424</v>
      </c>
      <c r="H34" s="169">
        <v>165023</v>
      </c>
      <c r="I34" s="170">
        <f t="shared" si="2"/>
        <v>0.10439420708855329</v>
      </c>
      <c r="J34" s="169">
        <f t="shared" si="3"/>
        <v>15599</v>
      </c>
      <c r="K34" s="170">
        <f t="shared" si="0"/>
        <v>3.6148547633312052E-2</v>
      </c>
      <c r="L34" s="170">
        <f>H34/H30</f>
        <v>0.20750171322230396</v>
      </c>
      <c r="M34" s="169">
        <v>3889</v>
      </c>
      <c r="N34" s="169">
        <v>9193</v>
      </c>
      <c r="O34" s="169">
        <v>13403</v>
      </c>
      <c r="P34" s="169">
        <v>11965</v>
      </c>
      <c r="Q34" s="169">
        <v>15319</v>
      </c>
      <c r="R34" s="169">
        <v>17303</v>
      </c>
      <c r="S34" s="170">
        <f t="shared" si="4"/>
        <v>0.12951237025915541</v>
      </c>
      <c r="T34" s="169">
        <f t="shared" si="1"/>
        <v>1984</v>
      </c>
      <c r="U34" s="170">
        <f t="shared" si="5"/>
        <v>2.5365752312385654E-2</v>
      </c>
      <c r="V34" s="170">
        <f>IFERROR(R34/R30,"-")</f>
        <v>0.20727120268327742</v>
      </c>
    </row>
    <row r="35" spans="2:22" ht="15.75" x14ac:dyDescent="0.25">
      <c r="B35" s="161" t="s">
        <v>51</v>
      </c>
      <c r="C35" s="162">
        <v>19059</v>
      </c>
      <c r="D35" s="162">
        <v>24453</v>
      </c>
      <c r="E35" s="162">
        <v>41481</v>
      </c>
      <c r="F35" s="162">
        <v>48608</v>
      </c>
      <c r="G35" s="162">
        <v>46696</v>
      </c>
      <c r="H35" s="162">
        <v>46403</v>
      </c>
      <c r="I35" s="163">
        <f t="shared" si="2"/>
        <v>-6.2746273770772909E-3</v>
      </c>
      <c r="J35" s="162">
        <f t="shared" si="3"/>
        <v>-293</v>
      </c>
      <c r="K35" s="163">
        <f t="shared" si="0"/>
        <v>1.0164650114399683E-2</v>
      </c>
      <c r="L35" s="164">
        <f>H35/H35</f>
        <v>1</v>
      </c>
      <c r="M35" s="162">
        <v>1764</v>
      </c>
      <c r="N35" s="162">
        <v>3380</v>
      </c>
      <c r="O35" s="162">
        <v>4025</v>
      </c>
      <c r="P35" s="162">
        <v>4419</v>
      </c>
      <c r="Q35" s="162">
        <v>4919</v>
      </c>
      <c r="R35" s="162">
        <v>5990</v>
      </c>
      <c r="S35" s="163">
        <f t="shared" si="4"/>
        <v>0.21772718032120353</v>
      </c>
      <c r="T35" s="162">
        <f t="shared" si="1"/>
        <v>1071</v>
      </c>
      <c r="U35" s="163">
        <f t="shared" si="5"/>
        <v>9.3682623876667117E-3</v>
      </c>
      <c r="V35" s="164">
        <f>IFERROR(R35/R35,"-")</f>
        <v>1</v>
      </c>
    </row>
    <row r="36" spans="2:22" ht="15.75" x14ac:dyDescent="0.25">
      <c r="B36" s="165" t="s">
        <v>62</v>
      </c>
      <c r="C36" s="166">
        <v>19059</v>
      </c>
      <c r="D36" s="166">
        <v>24453</v>
      </c>
      <c r="E36" s="166">
        <v>41481</v>
      </c>
      <c r="F36" s="166">
        <v>48608</v>
      </c>
      <c r="G36" s="166">
        <v>46696</v>
      </c>
      <c r="H36" s="166">
        <v>46403</v>
      </c>
      <c r="I36" s="167">
        <f t="shared" si="2"/>
        <v>-6.2746273770772909E-3</v>
      </c>
      <c r="J36" s="166">
        <f t="shared" si="3"/>
        <v>-293</v>
      </c>
      <c r="K36" s="167">
        <f t="shared" si="0"/>
        <v>1.0164650114399683E-2</v>
      </c>
      <c r="L36" s="167">
        <f>H36/H35</f>
        <v>1</v>
      </c>
      <c r="M36" s="166">
        <v>1764</v>
      </c>
      <c r="N36" s="166">
        <v>3380</v>
      </c>
      <c r="O36" s="166">
        <v>4025</v>
      </c>
      <c r="P36" s="166">
        <v>4419</v>
      </c>
      <c r="Q36" s="166">
        <v>4919</v>
      </c>
      <c r="R36" s="166">
        <v>5990</v>
      </c>
      <c r="S36" s="167">
        <f t="shared" si="4"/>
        <v>0.21772718032120353</v>
      </c>
      <c r="T36" s="166">
        <f t="shared" si="1"/>
        <v>1071</v>
      </c>
      <c r="U36" s="167">
        <f t="shared" si="5"/>
        <v>9.3682623876667117E-3</v>
      </c>
      <c r="V36" s="167">
        <f>IFERROR(R36/R35,"-")</f>
        <v>1</v>
      </c>
    </row>
    <row r="37" spans="2:22" x14ac:dyDescent="0.25">
      <c r="B37" s="123" t="s">
        <v>142</v>
      </c>
      <c r="C37" s="70">
        <v>8693</v>
      </c>
      <c r="D37" s="70">
        <v>0</v>
      </c>
      <c r="E37" s="70">
        <v>25644</v>
      </c>
      <c r="F37" s="70">
        <v>34429</v>
      </c>
      <c r="G37" s="70">
        <v>40518</v>
      </c>
      <c r="H37" s="70">
        <v>39638</v>
      </c>
      <c r="I37" s="124">
        <f t="shared" si="2"/>
        <v>-2.1718742287378467E-2</v>
      </c>
      <c r="J37" s="70">
        <f t="shared" si="3"/>
        <v>-880</v>
      </c>
      <c r="K37" s="124">
        <f t="shared" si="0"/>
        <v>8.682766227066669E-3</v>
      </c>
      <c r="L37" s="124">
        <f>H37/H35</f>
        <v>0.85421201215438658</v>
      </c>
      <c r="M37" s="70">
        <v>0</v>
      </c>
      <c r="N37" s="70">
        <v>0</v>
      </c>
      <c r="O37" s="70">
        <v>3524</v>
      </c>
      <c r="P37" s="70">
        <v>3716</v>
      </c>
      <c r="Q37" s="70">
        <v>4146</v>
      </c>
      <c r="R37" s="70">
        <v>5158</v>
      </c>
      <c r="S37" s="124">
        <f t="shared" si="4"/>
        <v>0.24409068982151472</v>
      </c>
      <c r="T37" s="70">
        <f t="shared" si="1"/>
        <v>1012</v>
      </c>
      <c r="U37" s="124">
        <f t="shared" si="5"/>
        <v>7.8779051895382438E-3</v>
      </c>
      <c r="V37" s="124">
        <f>IFERROR(R37/R35,"-")</f>
        <v>0.86110183639398996</v>
      </c>
    </row>
    <row r="38" spans="2:22" ht="15.75" thickBot="1" x14ac:dyDescent="0.3">
      <c r="B38" s="123" t="s">
        <v>144</v>
      </c>
      <c r="C38" s="70">
        <v>4061</v>
      </c>
      <c r="D38" s="70">
        <v>0</v>
      </c>
      <c r="E38" s="70">
        <v>3393</v>
      </c>
      <c r="F38" s="70">
        <v>5194</v>
      </c>
      <c r="G38" s="70">
        <v>6178</v>
      </c>
      <c r="H38" s="70">
        <v>6765</v>
      </c>
      <c r="I38" s="124">
        <f t="shared" si="2"/>
        <v>9.5014567821301466E-2</v>
      </c>
      <c r="J38" s="70">
        <f t="shared" si="3"/>
        <v>587</v>
      </c>
      <c r="K38" s="124">
        <f t="shared" si="0"/>
        <v>1.4818838873330142E-3</v>
      </c>
      <c r="L38" s="124">
        <f>H38/H35</f>
        <v>0.14578798784561342</v>
      </c>
      <c r="M38" s="70">
        <v>0</v>
      </c>
      <c r="N38" s="70">
        <v>0</v>
      </c>
      <c r="O38" s="70">
        <v>501</v>
      </c>
      <c r="P38" s="70">
        <v>703</v>
      </c>
      <c r="Q38" s="70">
        <v>773</v>
      </c>
      <c r="R38" s="70">
        <v>832</v>
      </c>
      <c r="S38" s="124">
        <f t="shared" si="4"/>
        <v>7.6326002587322028E-2</v>
      </c>
      <c r="T38" s="70">
        <f t="shared" si="1"/>
        <v>59</v>
      </c>
      <c r="U38" s="124">
        <f t="shared" si="5"/>
        <v>1.4903571981284675E-3</v>
      </c>
      <c r="V38" s="124">
        <f>IFERROR(R38/R35,"-")</f>
        <v>0.13889816360601001</v>
      </c>
    </row>
    <row r="39" spans="2:22" ht="15.75" x14ac:dyDescent="0.25">
      <c r="B39" s="161" t="s">
        <v>52</v>
      </c>
      <c r="C39" s="162">
        <v>64241</v>
      </c>
      <c r="D39" s="162">
        <v>83177</v>
      </c>
      <c r="E39" s="162">
        <v>166144</v>
      </c>
      <c r="F39" s="162">
        <v>213829</v>
      </c>
      <c r="G39" s="162">
        <v>202567</v>
      </c>
      <c r="H39" s="162">
        <v>212363</v>
      </c>
      <c r="I39" s="163">
        <f t="shared" si="2"/>
        <v>4.8359308278248747E-2</v>
      </c>
      <c r="J39" s="162">
        <f t="shared" si="3"/>
        <v>9796</v>
      </c>
      <c r="K39" s="163">
        <f t="shared" si="0"/>
        <v>4.6518449071057046E-2</v>
      </c>
      <c r="L39" s="164">
        <f>H39/H39</f>
        <v>1</v>
      </c>
      <c r="M39" s="162">
        <v>4520</v>
      </c>
      <c r="N39" s="162">
        <v>13324</v>
      </c>
      <c r="O39" s="162">
        <v>20050</v>
      </c>
      <c r="P39" s="162">
        <v>26095</v>
      </c>
      <c r="Q39" s="162">
        <v>21212</v>
      </c>
      <c r="R39" s="162">
        <v>20345</v>
      </c>
      <c r="S39" s="163">
        <f t="shared" si="4"/>
        <v>-4.0873090703375414E-2</v>
      </c>
      <c r="T39" s="162">
        <f t="shared" si="1"/>
        <v>-867</v>
      </c>
      <c r="U39" s="163">
        <f t="shared" si="5"/>
        <v>5.5321295995963526E-2</v>
      </c>
      <c r="V39" s="164">
        <f>IFERROR(R39/R39,"-")</f>
        <v>1</v>
      </c>
    </row>
    <row r="40" spans="2:22" ht="15.75" x14ac:dyDescent="0.25">
      <c r="B40" s="165" t="s">
        <v>62</v>
      </c>
      <c r="C40" s="166">
        <v>50483</v>
      </c>
      <c r="D40" s="166">
        <v>73838</v>
      </c>
      <c r="E40" s="166">
        <v>142029</v>
      </c>
      <c r="F40" s="166">
        <v>186898</v>
      </c>
      <c r="G40" s="166">
        <v>175551</v>
      </c>
      <c r="H40" s="166">
        <v>184313</v>
      </c>
      <c r="I40" s="167">
        <f t="shared" si="2"/>
        <v>4.9911421752083518E-2</v>
      </c>
      <c r="J40" s="166">
        <f t="shared" si="3"/>
        <v>8762</v>
      </c>
      <c r="K40" s="167">
        <f t="shared" si="0"/>
        <v>4.037405246504211E-2</v>
      </c>
      <c r="L40" s="167">
        <f>H40/H39</f>
        <v>0.86791484392290563</v>
      </c>
      <c r="M40" s="166">
        <v>4520</v>
      </c>
      <c r="N40" s="166">
        <v>11284</v>
      </c>
      <c r="O40" s="166">
        <v>17422</v>
      </c>
      <c r="P40" s="166">
        <v>23469</v>
      </c>
      <c r="Q40" s="166">
        <v>18252</v>
      </c>
      <c r="R40" s="166">
        <v>17456</v>
      </c>
      <c r="S40" s="167">
        <f t="shared" si="4"/>
        <v>-4.3611658996274394E-2</v>
      </c>
      <c r="T40" s="166">
        <f t="shared" si="1"/>
        <v>-796</v>
      </c>
      <c r="U40" s="167">
        <f t="shared" si="5"/>
        <v>4.9754186462129452E-2</v>
      </c>
      <c r="V40" s="167">
        <f>IFERROR(R40/R39,"-")</f>
        <v>0.85799950847874173</v>
      </c>
    </row>
    <row r="41" spans="2:22" x14ac:dyDescent="0.25">
      <c r="B41" s="123" t="s">
        <v>142</v>
      </c>
      <c r="C41" s="70">
        <v>22627</v>
      </c>
      <c r="D41" s="70">
        <v>0</v>
      </c>
      <c r="E41" s="70">
        <v>0</v>
      </c>
      <c r="F41" s="70">
        <v>0</v>
      </c>
      <c r="G41" s="70">
        <v>0</v>
      </c>
      <c r="H41" s="70">
        <v>0</v>
      </c>
      <c r="I41" s="124" t="str">
        <f t="shared" si="2"/>
        <v>-</v>
      </c>
      <c r="J41" s="70">
        <f t="shared" si="3"/>
        <v>0</v>
      </c>
      <c r="K41" s="124">
        <f t="shared" si="0"/>
        <v>0</v>
      </c>
      <c r="L41" s="124">
        <f>H41/H39</f>
        <v>0</v>
      </c>
      <c r="M41" s="70">
        <v>0</v>
      </c>
      <c r="N41" s="70">
        <v>0</v>
      </c>
      <c r="O41" s="70">
        <v>0</v>
      </c>
      <c r="P41" s="70">
        <v>0</v>
      </c>
      <c r="Q41" s="70">
        <v>0</v>
      </c>
      <c r="R41" s="70">
        <v>0</v>
      </c>
      <c r="S41" s="124" t="str">
        <f t="shared" si="4"/>
        <v>-</v>
      </c>
      <c r="T41" s="70">
        <f t="shared" si="1"/>
        <v>0</v>
      </c>
      <c r="U41" s="124">
        <f t="shared" si="5"/>
        <v>0</v>
      </c>
      <c r="V41" s="124">
        <f>IFERROR(R41/R39,"-")</f>
        <v>0</v>
      </c>
    </row>
    <row r="42" spans="2:22" x14ac:dyDescent="0.25">
      <c r="B42" s="123" t="s">
        <v>144</v>
      </c>
      <c r="C42" s="70">
        <v>0</v>
      </c>
      <c r="D42" s="70">
        <v>0</v>
      </c>
      <c r="E42" s="70">
        <v>0</v>
      </c>
      <c r="F42" s="70">
        <v>0</v>
      </c>
      <c r="G42" s="70">
        <v>0</v>
      </c>
      <c r="H42" s="70">
        <v>0</v>
      </c>
      <c r="I42" s="124" t="str">
        <f t="shared" si="2"/>
        <v>-</v>
      </c>
      <c r="J42" s="70">
        <f t="shared" si="3"/>
        <v>0</v>
      </c>
      <c r="K42" s="124">
        <f t="shared" si="0"/>
        <v>0</v>
      </c>
      <c r="L42" s="124">
        <f>H42/H39</f>
        <v>0</v>
      </c>
      <c r="M42" s="70">
        <v>0</v>
      </c>
      <c r="N42" s="70">
        <v>0</v>
      </c>
      <c r="O42" s="70">
        <v>0</v>
      </c>
      <c r="P42" s="70">
        <v>0</v>
      </c>
      <c r="Q42" s="70">
        <v>0</v>
      </c>
      <c r="R42" s="70">
        <v>0</v>
      </c>
      <c r="S42" s="124" t="str">
        <f t="shared" si="4"/>
        <v>-</v>
      </c>
      <c r="T42" s="70">
        <f t="shared" si="1"/>
        <v>0</v>
      </c>
      <c r="U42" s="124">
        <f t="shared" si="5"/>
        <v>0</v>
      </c>
      <c r="V42" s="124">
        <f>IFERROR(R42/R39,"-")</f>
        <v>0</v>
      </c>
    </row>
    <row r="43" spans="2:22" ht="16.5" thickBot="1" x14ac:dyDescent="0.3">
      <c r="B43" s="168" t="s">
        <v>65</v>
      </c>
      <c r="C43" s="169">
        <v>13758</v>
      </c>
      <c r="D43" s="169">
        <v>7414</v>
      </c>
      <c r="E43" s="169">
        <v>24115</v>
      </c>
      <c r="F43" s="169">
        <v>26931</v>
      </c>
      <c r="G43" s="169">
        <v>27016</v>
      </c>
      <c r="H43" s="169">
        <v>28050</v>
      </c>
      <c r="I43" s="170">
        <f t="shared" si="2"/>
        <v>3.8273615635179059E-2</v>
      </c>
      <c r="J43" s="169">
        <f t="shared" si="3"/>
        <v>1034</v>
      </c>
      <c r="K43" s="170">
        <f t="shared" si="0"/>
        <v>6.1443966060149369E-3</v>
      </c>
      <c r="L43" s="170">
        <f>H43/H39</f>
        <v>0.1320851560770944</v>
      </c>
      <c r="M43" s="169">
        <v>0</v>
      </c>
      <c r="N43" s="169">
        <v>2040</v>
      </c>
      <c r="O43" s="169">
        <v>2628</v>
      </c>
      <c r="P43" s="169">
        <v>2626</v>
      </c>
      <c r="Q43" s="169">
        <v>2960</v>
      </c>
      <c r="R43" s="169">
        <v>2889</v>
      </c>
      <c r="S43" s="170">
        <f t="shared" si="4"/>
        <v>-2.3986486486486491E-2</v>
      </c>
      <c r="T43" s="169">
        <f t="shared" si="1"/>
        <v>-71</v>
      </c>
      <c r="U43" s="170">
        <f t="shared" si="5"/>
        <v>5.5671095338340765E-3</v>
      </c>
      <c r="V43" s="170">
        <f>IFERROR(R43/R39,"-")</f>
        <v>0.14200049152125829</v>
      </c>
    </row>
    <row r="44" spans="2:22" ht="15.75" x14ac:dyDescent="0.25">
      <c r="B44" s="161" t="s">
        <v>53</v>
      </c>
      <c r="C44" s="162">
        <v>76350</v>
      </c>
      <c r="D44" s="162">
        <v>123320</v>
      </c>
      <c r="E44" s="162">
        <v>179915</v>
      </c>
      <c r="F44" s="162">
        <v>194865</v>
      </c>
      <c r="G44" s="162">
        <v>201157</v>
      </c>
      <c r="H44" s="162">
        <v>227882</v>
      </c>
      <c r="I44" s="163">
        <f t="shared" si="2"/>
        <v>0.13285642557803112</v>
      </c>
      <c r="J44" s="162">
        <f t="shared" si="3"/>
        <v>26725</v>
      </c>
      <c r="K44" s="163">
        <f t="shared" si="0"/>
        <v>4.9917910423240494E-2</v>
      </c>
      <c r="L44" s="164">
        <f>H44/H44</f>
        <v>1</v>
      </c>
      <c r="M44" s="162">
        <v>9298</v>
      </c>
      <c r="N44" s="162">
        <v>19721</v>
      </c>
      <c r="O44" s="162">
        <v>21932</v>
      </c>
      <c r="P44" s="162">
        <v>20553</v>
      </c>
      <c r="Q44" s="162">
        <v>19337</v>
      </c>
      <c r="R44" s="162">
        <v>24469</v>
      </c>
      <c r="S44" s="163">
        <f t="shared" si="4"/>
        <v>0.26539794176966436</v>
      </c>
      <c r="T44" s="162">
        <f t="shared" si="1"/>
        <v>5132</v>
      </c>
      <c r="U44" s="163">
        <f t="shared" si="5"/>
        <v>4.3572278084117205E-2</v>
      </c>
      <c r="V44" s="164">
        <f>IFERROR(R44/R44,"-")</f>
        <v>1</v>
      </c>
    </row>
    <row r="45" spans="2:22" ht="15.75" x14ac:dyDescent="0.25">
      <c r="B45" s="165" t="s">
        <v>62</v>
      </c>
      <c r="C45" s="166">
        <v>76350</v>
      </c>
      <c r="D45" s="166">
        <v>123320</v>
      </c>
      <c r="E45" s="166">
        <v>179915</v>
      </c>
      <c r="F45" s="166">
        <v>194865</v>
      </c>
      <c r="G45" s="166">
        <v>201157</v>
      </c>
      <c r="H45" s="166">
        <v>227882</v>
      </c>
      <c r="I45" s="167">
        <f t="shared" si="2"/>
        <v>0.13285642557803112</v>
      </c>
      <c r="J45" s="166">
        <f t="shared" si="3"/>
        <v>26725</v>
      </c>
      <c r="K45" s="167">
        <f t="shared" si="0"/>
        <v>4.9917910423240494E-2</v>
      </c>
      <c r="L45" s="167">
        <f>H45/H44</f>
        <v>1</v>
      </c>
      <c r="M45" s="166">
        <v>9298</v>
      </c>
      <c r="N45" s="166">
        <v>19721</v>
      </c>
      <c r="O45" s="166">
        <v>21932</v>
      </c>
      <c r="P45" s="166">
        <v>20553</v>
      </c>
      <c r="Q45" s="166">
        <v>19337</v>
      </c>
      <c r="R45" s="166">
        <v>24469</v>
      </c>
      <c r="S45" s="167">
        <f t="shared" si="4"/>
        <v>0.26539794176966436</v>
      </c>
      <c r="T45" s="166">
        <f t="shared" si="1"/>
        <v>5132</v>
      </c>
      <c r="U45" s="167">
        <f t="shared" si="5"/>
        <v>4.3572278084117205E-2</v>
      </c>
      <c r="V45" s="167">
        <f>IFERROR(R45/R44,"-")</f>
        <v>1</v>
      </c>
    </row>
    <row r="46" spans="2:22" x14ac:dyDescent="0.25">
      <c r="B46" s="123" t="s">
        <v>142</v>
      </c>
      <c r="C46" s="70">
        <v>38765</v>
      </c>
      <c r="D46" s="70">
        <v>77294</v>
      </c>
      <c r="E46" s="70">
        <v>107459</v>
      </c>
      <c r="F46" s="70">
        <v>117492</v>
      </c>
      <c r="G46" s="70">
        <v>119763</v>
      </c>
      <c r="H46" s="70">
        <v>151509</v>
      </c>
      <c r="I46" s="124">
        <f t="shared" si="2"/>
        <v>0.26507352020239972</v>
      </c>
      <c r="J46" s="70">
        <f t="shared" si="3"/>
        <v>31746</v>
      </c>
      <c r="K46" s="124">
        <f t="shared" si="0"/>
        <v>3.3188284683804532E-2</v>
      </c>
      <c r="L46" s="124">
        <f>H46/H44</f>
        <v>0.66485725068237067</v>
      </c>
      <c r="M46" s="70">
        <v>5005</v>
      </c>
      <c r="N46" s="70">
        <v>12607</v>
      </c>
      <c r="O46" s="70">
        <v>12410</v>
      </c>
      <c r="P46" s="70">
        <v>12972</v>
      </c>
      <c r="Q46" s="70">
        <v>12954</v>
      </c>
      <c r="R46" s="70">
        <v>16315</v>
      </c>
      <c r="S46" s="124">
        <f t="shared" si="4"/>
        <v>0.25945653852092021</v>
      </c>
      <c r="T46" s="70">
        <f t="shared" si="1"/>
        <v>3361</v>
      </c>
      <c r="U46" s="124">
        <f t="shared" si="5"/>
        <v>2.7500588298893999E-2</v>
      </c>
      <c r="V46" s="124">
        <f>IFERROR(R46/R44,"-")</f>
        <v>0.66676202541991914</v>
      </c>
    </row>
    <row r="47" spans="2:22" ht="15.75" thickBot="1" x14ac:dyDescent="0.3">
      <c r="B47" s="123" t="s">
        <v>144</v>
      </c>
      <c r="C47" s="70">
        <v>37585</v>
      </c>
      <c r="D47" s="70">
        <v>46026</v>
      </c>
      <c r="E47" s="70">
        <v>72456</v>
      </c>
      <c r="F47" s="70">
        <v>77373</v>
      </c>
      <c r="G47" s="70">
        <v>81394</v>
      </c>
      <c r="H47" s="70">
        <v>76373</v>
      </c>
      <c r="I47" s="124">
        <f t="shared" si="2"/>
        <v>-6.1687593680123887E-2</v>
      </c>
      <c r="J47" s="70">
        <f t="shared" si="3"/>
        <v>-5021</v>
      </c>
      <c r="K47" s="124">
        <f t="shared" si="0"/>
        <v>1.6729625739435965E-2</v>
      </c>
      <c r="L47" s="124">
        <f>H47/H44</f>
        <v>0.33514274931762927</v>
      </c>
      <c r="M47" s="70">
        <v>4293</v>
      </c>
      <c r="N47" s="70">
        <v>7114</v>
      </c>
      <c r="O47" s="70">
        <v>9522</v>
      </c>
      <c r="P47" s="70">
        <v>7581</v>
      </c>
      <c r="Q47" s="70">
        <v>6383</v>
      </c>
      <c r="R47" s="70">
        <v>8154</v>
      </c>
      <c r="S47" s="124">
        <f t="shared" si="4"/>
        <v>0.27745574181419386</v>
      </c>
      <c r="T47" s="70">
        <f t="shared" si="1"/>
        <v>1771</v>
      </c>
      <c r="U47" s="124">
        <f t="shared" si="5"/>
        <v>1.6071689785223203E-2</v>
      </c>
      <c r="V47" s="124">
        <f>IFERROR(R47/R44,"-")</f>
        <v>0.33323797458008092</v>
      </c>
    </row>
    <row r="48" spans="2:22" ht="15.75" x14ac:dyDescent="0.25">
      <c r="B48" s="161" t="s">
        <v>54</v>
      </c>
      <c r="C48" s="162">
        <v>77984</v>
      </c>
      <c r="D48" s="162">
        <v>100724</v>
      </c>
      <c r="E48" s="162">
        <v>212753</v>
      </c>
      <c r="F48" s="162">
        <v>230245</v>
      </c>
      <c r="G48" s="162">
        <v>241157</v>
      </c>
      <c r="H48" s="162">
        <v>240215</v>
      </c>
      <c r="I48" s="163">
        <f t="shared" si="2"/>
        <v>-3.9061690102298874E-3</v>
      </c>
      <c r="J48" s="162">
        <f t="shared" si="3"/>
        <v>-942</v>
      </c>
      <c r="K48" s="163">
        <f t="shared" si="0"/>
        <v>5.2619473465735409E-2</v>
      </c>
      <c r="L48" s="164">
        <f>H48/H48</f>
        <v>1</v>
      </c>
      <c r="M48" s="162">
        <v>6665</v>
      </c>
      <c r="N48" s="162">
        <v>23140</v>
      </c>
      <c r="O48" s="162">
        <v>22327</v>
      </c>
      <c r="P48" s="162">
        <v>25007</v>
      </c>
      <c r="Q48" s="162">
        <v>27341</v>
      </c>
      <c r="R48" s="162">
        <v>26482</v>
      </c>
      <c r="S48" s="163">
        <f t="shared" si="4"/>
        <v>-3.1418016897699408E-2</v>
      </c>
      <c r="T48" s="162">
        <f t="shared" si="1"/>
        <v>-859</v>
      </c>
      <c r="U48" s="163">
        <f t="shared" si="5"/>
        <v>5.3014740332288174E-2</v>
      </c>
      <c r="V48" s="164">
        <f>IFERROR(R48/R48,"-")</f>
        <v>1</v>
      </c>
    </row>
    <row r="49" spans="2:22" ht="15.75" x14ac:dyDescent="0.25">
      <c r="B49" s="165" t="s">
        <v>62</v>
      </c>
      <c r="C49" s="166">
        <v>61204</v>
      </c>
      <c r="D49" s="166">
        <v>84437</v>
      </c>
      <c r="E49" s="166">
        <v>175993</v>
      </c>
      <c r="F49" s="166">
        <v>189498</v>
      </c>
      <c r="G49" s="166">
        <v>198882</v>
      </c>
      <c r="H49" s="166">
        <v>194593</v>
      </c>
      <c r="I49" s="167">
        <f t="shared" si="2"/>
        <v>-2.1565551432507712E-2</v>
      </c>
      <c r="J49" s="166">
        <f t="shared" si="3"/>
        <v>-4289</v>
      </c>
      <c r="K49" s="167">
        <f t="shared" si="0"/>
        <v>4.2625902629385551E-2</v>
      </c>
      <c r="L49" s="167">
        <f>H49/H48</f>
        <v>0.81007847136939826</v>
      </c>
      <c r="M49" s="166">
        <v>5837</v>
      </c>
      <c r="N49" s="166">
        <v>19624</v>
      </c>
      <c r="O49" s="166">
        <v>18718</v>
      </c>
      <c r="P49" s="166">
        <v>20522</v>
      </c>
      <c r="Q49" s="166">
        <v>22570</v>
      </c>
      <c r="R49" s="166">
        <v>21549</v>
      </c>
      <c r="S49" s="167">
        <f t="shared" si="4"/>
        <v>-4.5237040319007549E-2</v>
      </c>
      <c r="T49" s="166">
        <f t="shared" si="1"/>
        <v>-1021</v>
      </c>
      <c r="U49" s="167">
        <f t="shared" si="5"/>
        <v>4.3506558207670569E-2</v>
      </c>
      <c r="V49" s="167">
        <f>IFERROR(R49/R48,"-")</f>
        <v>0.81372252850993132</v>
      </c>
    </row>
    <row r="50" spans="2:22" x14ac:dyDescent="0.25">
      <c r="B50" s="123" t="s">
        <v>142</v>
      </c>
      <c r="C50" s="70">
        <v>40956</v>
      </c>
      <c r="D50" s="70">
        <v>39929</v>
      </c>
      <c r="E50" s="70">
        <v>135196</v>
      </c>
      <c r="F50" s="70">
        <v>148772</v>
      </c>
      <c r="G50" s="70">
        <v>154236</v>
      </c>
      <c r="H50" s="70">
        <v>151827</v>
      </c>
      <c r="I50" s="124">
        <f t="shared" si="2"/>
        <v>-1.5618921652532536E-2</v>
      </c>
      <c r="J50" s="70">
        <f t="shared" si="3"/>
        <v>-2409</v>
      </c>
      <c r="K50" s="124">
        <f t="shared" si="0"/>
        <v>3.3257943083829941E-2</v>
      </c>
      <c r="L50" s="124">
        <f>H50/H48</f>
        <v>0.63204629186353889</v>
      </c>
      <c r="M50" s="70">
        <v>0</v>
      </c>
      <c r="N50" s="70">
        <v>14899</v>
      </c>
      <c r="O50" s="70">
        <v>14897</v>
      </c>
      <c r="P50" s="70">
        <v>15893</v>
      </c>
      <c r="Q50" s="70">
        <v>17980</v>
      </c>
      <c r="R50" s="70">
        <v>17112</v>
      </c>
      <c r="S50" s="124">
        <f t="shared" si="4"/>
        <v>-4.8275862068965503E-2</v>
      </c>
      <c r="T50" s="70">
        <f t="shared" si="1"/>
        <v>-868</v>
      </c>
      <c r="U50" s="124">
        <f t="shared" si="5"/>
        <v>3.3693096656978283E-2</v>
      </c>
      <c r="V50" s="124">
        <f>IFERROR(R50/R48,"-")</f>
        <v>0.64617476021448528</v>
      </c>
    </row>
    <row r="51" spans="2:22" x14ac:dyDescent="0.25">
      <c r="B51" s="123" t="s">
        <v>144</v>
      </c>
      <c r="C51" s="70">
        <v>9862</v>
      </c>
      <c r="D51" s="70">
        <v>16912</v>
      </c>
      <c r="E51" s="70">
        <v>40797</v>
      </c>
      <c r="F51" s="70">
        <v>40726</v>
      </c>
      <c r="G51" s="70">
        <v>44646</v>
      </c>
      <c r="H51" s="70">
        <v>42766</v>
      </c>
      <c r="I51" s="124">
        <f t="shared" si="2"/>
        <v>-4.2109035523899108E-2</v>
      </c>
      <c r="J51" s="70">
        <f t="shared" si="3"/>
        <v>-1880</v>
      </c>
      <c r="K51" s="124">
        <f t="shared" si="0"/>
        <v>9.367959545555608E-3</v>
      </c>
      <c r="L51" s="124">
        <f>H51/H48</f>
        <v>0.17803217950585934</v>
      </c>
      <c r="M51" s="70">
        <v>0</v>
      </c>
      <c r="N51" s="70">
        <v>4725</v>
      </c>
      <c r="O51" s="70">
        <v>3821</v>
      </c>
      <c r="P51" s="70">
        <v>4629</v>
      </c>
      <c r="Q51" s="70">
        <v>4590</v>
      </c>
      <c r="R51" s="70">
        <v>4437</v>
      </c>
      <c r="S51" s="124">
        <f t="shared" si="4"/>
        <v>-3.3333333333333326E-2</v>
      </c>
      <c r="T51" s="70">
        <f t="shared" si="1"/>
        <v>-153</v>
      </c>
      <c r="U51" s="124">
        <f t="shared" si="5"/>
        <v>9.8134615506922842E-3</v>
      </c>
      <c r="V51" s="124">
        <f>IFERROR(R51/R48,"-")</f>
        <v>0.16754776829544596</v>
      </c>
    </row>
    <row r="52" spans="2:22" ht="16.5" thickBot="1" x14ac:dyDescent="0.3">
      <c r="B52" s="168" t="s">
        <v>65</v>
      </c>
      <c r="C52" s="169">
        <v>16780</v>
      </c>
      <c r="D52" s="169">
        <v>16287</v>
      </c>
      <c r="E52" s="169">
        <v>36760</v>
      </c>
      <c r="F52" s="169">
        <v>40747</v>
      </c>
      <c r="G52" s="169">
        <v>42275</v>
      </c>
      <c r="H52" s="169">
        <v>45622</v>
      </c>
      <c r="I52" s="170">
        <f t="shared" si="2"/>
        <v>7.9172087522176193E-2</v>
      </c>
      <c r="J52" s="169">
        <f t="shared" si="3"/>
        <v>3347</v>
      </c>
      <c r="K52" s="170">
        <f t="shared" si="0"/>
        <v>9.9935708363498559E-3</v>
      </c>
      <c r="L52" s="170">
        <f>H52/H48</f>
        <v>0.18992152863060174</v>
      </c>
      <c r="M52" s="169">
        <v>828</v>
      </c>
      <c r="N52" s="169">
        <v>3516</v>
      </c>
      <c r="O52" s="169">
        <v>3609</v>
      </c>
      <c r="P52" s="169">
        <v>4485</v>
      </c>
      <c r="Q52" s="169">
        <v>4771</v>
      </c>
      <c r="R52" s="169">
        <v>4933</v>
      </c>
      <c r="S52" s="170">
        <f t="shared" si="4"/>
        <v>3.3955145671766829E-2</v>
      </c>
      <c r="T52" s="169">
        <f t="shared" si="1"/>
        <v>162</v>
      </c>
      <c r="U52" s="170">
        <f t="shared" si="5"/>
        <v>9.5081821246176049E-3</v>
      </c>
      <c r="V52" s="170">
        <f>IFERROR(R52/R48,"-")</f>
        <v>0.18627747149006874</v>
      </c>
    </row>
    <row r="53" spans="2:22" ht="15.75" x14ac:dyDescent="0.25">
      <c r="B53" s="161" t="s">
        <v>55</v>
      </c>
      <c r="C53" s="162">
        <f t="shared" ref="C53:H56" si="6">C6-C11-C16-C21-C26-C30-C35-C39-C44-C48</f>
        <v>136256</v>
      </c>
      <c r="D53" s="162">
        <f t="shared" si="6"/>
        <v>52520</v>
      </c>
      <c r="E53" s="162">
        <f t="shared" si="6"/>
        <v>91115</v>
      </c>
      <c r="F53" s="162">
        <f t="shared" si="6"/>
        <v>101109</v>
      </c>
      <c r="G53" s="162">
        <f t="shared" si="6"/>
        <v>106028</v>
      </c>
      <c r="H53" s="162">
        <f t="shared" si="6"/>
        <v>106075</v>
      </c>
      <c r="I53" s="163">
        <f t="shared" si="2"/>
        <v>4.4327913381381201E-4</v>
      </c>
      <c r="J53" s="162">
        <f t="shared" si="3"/>
        <v>47</v>
      </c>
      <c r="K53" s="163">
        <f t="shared" si="0"/>
        <v>2.3235895543067181E-2</v>
      </c>
      <c r="L53" s="164">
        <f>H53/H53</f>
        <v>1</v>
      </c>
      <c r="M53" s="162">
        <v>2754</v>
      </c>
      <c r="N53" s="162">
        <v>9641</v>
      </c>
      <c r="O53" s="162">
        <v>9567</v>
      </c>
      <c r="P53" s="162">
        <v>11329</v>
      </c>
      <c r="Q53" s="162">
        <v>11427</v>
      </c>
      <c r="R53" s="162">
        <v>11558</v>
      </c>
      <c r="S53" s="163">
        <f t="shared" si="4"/>
        <v>1.1464076310492732E-2</v>
      </c>
      <c r="T53" s="162">
        <f t="shared" si="1"/>
        <v>131</v>
      </c>
      <c r="U53" s="163">
        <f t="shared" si="5"/>
        <v>2.4017434847222487E-2</v>
      </c>
      <c r="V53" s="164">
        <f>IFERROR(R53/R53,"-")</f>
        <v>1</v>
      </c>
    </row>
    <row r="54" spans="2:22" ht="15.75" x14ac:dyDescent="0.25">
      <c r="B54" s="165" t="s">
        <v>62</v>
      </c>
      <c r="C54" s="166">
        <f t="shared" si="6"/>
        <v>103457</v>
      </c>
      <c r="D54" s="166">
        <f t="shared" si="6"/>
        <v>53790</v>
      </c>
      <c r="E54" s="166">
        <f t="shared" si="6"/>
        <v>88252</v>
      </c>
      <c r="F54" s="166">
        <f t="shared" si="6"/>
        <v>93505</v>
      </c>
      <c r="G54" s="166">
        <f t="shared" si="6"/>
        <v>96698</v>
      </c>
      <c r="H54" s="166">
        <f t="shared" si="6"/>
        <v>95584</v>
      </c>
      <c r="I54" s="167">
        <f t="shared" si="2"/>
        <v>-1.1520403731204332E-2</v>
      </c>
      <c r="J54" s="166">
        <f t="shared" si="3"/>
        <v>-1114</v>
      </c>
      <c r="K54" s="167">
        <f t="shared" si="0"/>
        <v>2.0937825496945874E-2</v>
      </c>
      <c r="L54" s="167">
        <f>H54/H53</f>
        <v>0.90109827951920807</v>
      </c>
      <c r="M54" s="166">
        <v>2746</v>
      </c>
      <c r="N54" s="166">
        <v>9342</v>
      </c>
      <c r="O54" s="166">
        <v>9261</v>
      </c>
      <c r="P54" s="166">
        <v>10507</v>
      </c>
      <c r="Q54" s="166">
        <v>10382</v>
      </c>
      <c r="R54" s="166">
        <v>10499</v>
      </c>
      <c r="S54" s="167">
        <f t="shared" si="4"/>
        <v>1.1269504912348349E-2</v>
      </c>
      <c r="T54" s="166">
        <f t="shared" si="1"/>
        <v>117</v>
      </c>
      <c r="U54" s="167">
        <f t="shared" si="5"/>
        <v>2.2274798123379527E-2</v>
      </c>
      <c r="V54" s="167">
        <f>IFERROR(R54/R53,"-")</f>
        <v>0.90837515141027858</v>
      </c>
    </row>
    <row r="55" spans="2:22" x14ac:dyDescent="0.25">
      <c r="B55" s="123" t="s">
        <v>142</v>
      </c>
      <c r="C55" s="70">
        <f t="shared" si="6"/>
        <v>120979</v>
      </c>
      <c r="D55" s="70">
        <f t="shared" si="6"/>
        <v>146726</v>
      </c>
      <c r="E55" s="70">
        <f t="shared" si="6"/>
        <v>327943</v>
      </c>
      <c r="F55" s="70">
        <f t="shared" si="6"/>
        <v>293266</v>
      </c>
      <c r="G55" s="70">
        <f t="shared" si="6"/>
        <v>380343</v>
      </c>
      <c r="H55" s="70">
        <f t="shared" si="6"/>
        <v>337613</v>
      </c>
      <c r="I55" s="124">
        <f t="shared" si="2"/>
        <v>-0.11234596140851805</v>
      </c>
      <c r="J55" s="70">
        <f t="shared" si="3"/>
        <v>-42730</v>
      </c>
      <c r="K55" s="124">
        <f t="shared" si="0"/>
        <v>7.3954658515027485E-2</v>
      </c>
      <c r="L55" s="124">
        <f>H55/H53</f>
        <v>3.1827763374970539</v>
      </c>
      <c r="M55" s="70">
        <v>2040</v>
      </c>
      <c r="N55" s="70">
        <v>7198</v>
      </c>
      <c r="O55" s="70">
        <v>6466</v>
      </c>
      <c r="P55" s="70">
        <v>7404</v>
      </c>
      <c r="Q55" s="70">
        <v>7258</v>
      </c>
      <c r="R55" s="70">
        <v>7544</v>
      </c>
      <c r="S55" s="124">
        <f t="shared" si="4"/>
        <v>3.9404794709286373E-2</v>
      </c>
      <c r="T55" s="70">
        <f t="shared" si="1"/>
        <v>286</v>
      </c>
      <c r="U55" s="124">
        <f t="shared" si="5"/>
        <v>1.5696450490673079E-2</v>
      </c>
      <c r="V55" s="124">
        <f>IFERROR(R55/R53,"-")</f>
        <v>0.65270808098286903</v>
      </c>
    </row>
    <row r="56" spans="2:22" x14ac:dyDescent="0.25">
      <c r="B56" s="123" t="s">
        <v>144</v>
      </c>
      <c r="C56" s="70">
        <f t="shared" si="6"/>
        <v>45954</v>
      </c>
      <c r="D56" s="70">
        <f t="shared" si="6"/>
        <v>44173</v>
      </c>
      <c r="E56" s="70">
        <f t="shared" si="6"/>
        <v>67925</v>
      </c>
      <c r="F56" s="70">
        <f t="shared" si="6"/>
        <v>98069</v>
      </c>
      <c r="G56" s="70">
        <f t="shared" si="6"/>
        <v>94674</v>
      </c>
      <c r="H56" s="70">
        <f t="shared" si="6"/>
        <v>104932</v>
      </c>
      <c r="I56" s="124">
        <f t="shared" si="2"/>
        <v>0.10835076156072421</v>
      </c>
      <c r="J56" s="70">
        <f t="shared" si="3"/>
        <v>10258</v>
      </c>
      <c r="K56" s="124">
        <f t="shared" si="0"/>
        <v>2.2985519595806039E-2</v>
      </c>
      <c r="L56" s="124">
        <f>H56/H53</f>
        <v>0.98922460523214706</v>
      </c>
      <c r="M56" s="70">
        <v>706</v>
      </c>
      <c r="N56" s="70">
        <v>2144</v>
      </c>
      <c r="O56" s="70">
        <v>2795</v>
      </c>
      <c r="P56" s="70">
        <v>3103</v>
      </c>
      <c r="Q56" s="70">
        <v>3124</v>
      </c>
      <c r="R56" s="70">
        <v>2955</v>
      </c>
      <c r="S56" s="124">
        <f t="shared" si="4"/>
        <v>-5.4097311139564619E-2</v>
      </c>
      <c r="T56" s="70">
        <f t="shared" si="1"/>
        <v>-169</v>
      </c>
      <c r="U56" s="124">
        <f t="shared" si="5"/>
        <v>6.5783476327064506E-3</v>
      </c>
      <c r="V56" s="124">
        <f>IFERROR(R56/R53,"-")</f>
        <v>0.2556670704274096</v>
      </c>
    </row>
    <row r="57" spans="2:22" ht="15.75" x14ac:dyDescent="0.25">
      <c r="B57" s="168" t="s">
        <v>65</v>
      </c>
      <c r="C57" s="169">
        <f>C53-C54</f>
        <v>32799</v>
      </c>
      <c r="D57" s="169">
        <f t="shared" ref="D57:H57" si="7">D53-D54</f>
        <v>-1270</v>
      </c>
      <c r="E57" s="169">
        <f t="shared" si="7"/>
        <v>2863</v>
      </c>
      <c r="F57" s="169">
        <f t="shared" si="7"/>
        <v>7604</v>
      </c>
      <c r="G57" s="169">
        <f t="shared" si="7"/>
        <v>9330</v>
      </c>
      <c r="H57" s="169">
        <f t="shared" si="7"/>
        <v>10491</v>
      </c>
      <c r="I57" s="170">
        <f t="shared" si="2"/>
        <v>0.12443729903536971</v>
      </c>
      <c r="J57" s="169">
        <f t="shared" si="3"/>
        <v>1161</v>
      </c>
      <c r="K57" s="170">
        <f t="shared" si="0"/>
        <v>2.2980700461213087E-3</v>
      </c>
      <c r="L57" s="170">
        <f>H57/H53</f>
        <v>9.8901720480791891E-2</v>
      </c>
      <c r="M57" s="169">
        <v>60</v>
      </c>
      <c r="N57" s="169">
        <v>2401</v>
      </c>
      <c r="O57" s="169">
        <v>1288</v>
      </c>
      <c r="P57" s="169">
        <v>1692</v>
      </c>
      <c r="Q57" s="169">
        <v>4580</v>
      </c>
      <c r="R57" s="169">
        <v>4397</v>
      </c>
      <c r="S57" s="170">
        <f t="shared" si="4"/>
        <v>-3.995633187772929E-2</v>
      </c>
      <c r="T57" s="169">
        <f t="shared" si="1"/>
        <v>-183</v>
      </c>
      <c r="U57" s="170">
        <f t="shared" si="5"/>
        <v>3.5870332563774782E-3</v>
      </c>
      <c r="V57" s="170">
        <f>IFERROR(R57/R53,"-")</f>
        <v>0.38042913998961758</v>
      </c>
    </row>
    <row r="58" spans="2:22" x14ac:dyDescent="0.25">
      <c r="B58" s="127"/>
      <c r="C58" s="128"/>
      <c r="D58" s="128"/>
      <c r="E58" s="128"/>
      <c r="F58" s="128"/>
      <c r="G58" s="128"/>
      <c r="H58" s="129"/>
      <c r="I58" s="128"/>
      <c r="J58" s="130"/>
      <c r="K58" s="130"/>
      <c r="L58" s="130"/>
    </row>
    <row r="59" spans="2:22" x14ac:dyDescent="0.25">
      <c r="B59" s="131" t="s">
        <v>57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343B-8BA6-40C8-B4ED-01824C056279}">
  <sheetPr>
    <tabColor theme="7" tint="0.79998168889431442"/>
    <pageSetUpPr fitToPage="1"/>
  </sheetPr>
  <dimension ref="A1:W162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12"/>
      <c r="D3" s="12"/>
      <c r="E3" s="12"/>
      <c r="F3" s="12"/>
      <c r="G3" s="12"/>
      <c r="H3" s="12"/>
      <c r="I3" s="12"/>
      <c r="J3" s="12"/>
      <c r="K3" s="12"/>
      <c r="N3" s="172" t="s">
        <v>264</v>
      </c>
      <c r="O3" s="173"/>
      <c r="P3" s="173"/>
      <c r="Q3" s="173"/>
      <c r="R3" s="173"/>
      <c r="S3" s="173"/>
      <c r="T3" s="173"/>
      <c r="U3" s="173"/>
      <c r="V3" s="173"/>
      <c r="W3" s="173"/>
    </row>
    <row r="4" spans="1:23" ht="6" customHeight="1" x14ac:dyDescent="0.25"/>
    <row r="5" spans="1:23" ht="15.75" x14ac:dyDescent="0.25">
      <c r="B5" s="174"/>
      <c r="C5" s="175" t="s">
        <v>45</v>
      </c>
      <c r="D5" s="176"/>
      <c r="E5" s="176"/>
      <c r="F5" s="176"/>
      <c r="G5" s="176"/>
      <c r="H5" s="176"/>
      <c r="I5" s="176"/>
      <c r="J5" s="176"/>
      <c r="K5" s="176"/>
      <c r="N5" s="174"/>
      <c r="O5" s="175" t="s">
        <v>45</v>
      </c>
      <c r="P5" s="176"/>
      <c r="Q5" s="176"/>
      <c r="R5" s="176"/>
      <c r="S5" s="176"/>
      <c r="T5" s="176"/>
      <c r="U5" s="176"/>
      <c r="V5" s="176"/>
      <c r="W5" s="176"/>
    </row>
    <row r="6" spans="1:23" s="177" customFormat="1" ht="72" customHeight="1" x14ac:dyDescent="0.25">
      <c r="B6" s="178"/>
      <c r="C6" s="179">
        <v>2019</v>
      </c>
      <c r="D6" s="180">
        <v>2020</v>
      </c>
      <c r="E6" s="180">
        <v>2021</v>
      </c>
      <c r="F6" s="180">
        <v>2022</v>
      </c>
      <c r="G6" s="180">
        <v>2023</v>
      </c>
      <c r="H6" s="180">
        <v>2024</v>
      </c>
      <c r="I6" s="181" t="str">
        <f>CONCATENATE("var. ",RIGHT(H6,2),"/",RIGHT(G6,2))</f>
        <v>var. 24/23</v>
      </c>
      <c r="J6" s="182" t="str">
        <f>CONCATENATE("dif. ",RIGHT(H6,2),"/",RIGHT(G6,2))</f>
        <v>dif. 24/23</v>
      </c>
      <c r="K6" s="181" t="str">
        <f>CONCATENATE("Cuota s/ total lugares de residencia ",RIGHT(H6,4))</f>
        <v>Cuota s/ total lugares de residencia 2024</v>
      </c>
      <c r="N6" s="178"/>
      <c r="O6" s="179">
        <v>2019</v>
      </c>
      <c r="P6" s="180">
        <v>2020</v>
      </c>
      <c r="Q6" s="180">
        <v>2021</v>
      </c>
      <c r="R6" s="180">
        <v>2022</v>
      </c>
      <c r="S6" s="180">
        <v>2023</v>
      </c>
      <c r="T6" s="180">
        <v>2024</v>
      </c>
      <c r="U6" s="181" t="str">
        <f>CONCATENATE("var. ",RIGHT(T6,2),"/",RIGHT(S6,2))</f>
        <v>var. 24/23</v>
      </c>
      <c r="V6" s="182" t="str">
        <f>CONCATENATE("dif. ",RIGHT(T6,2),"/",RIGHT(S6,2))</f>
        <v>dif. 24/23</v>
      </c>
      <c r="W6" s="181" t="str">
        <f>CONCATENATE("Cuota s/ total lugares de residencia ",RIGHT(T6,4))</f>
        <v>Cuota s/ total lugares de residencia 2024</v>
      </c>
    </row>
    <row r="7" spans="1:23" x14ac:dyDescent="0.25">
      <c r="A7" s="1"/>
      <c r="B7" s="183" t="s">
        <v>45</v>
      </c>
      <c r="C7" s="184"/>
      <c r="D7" s="184"/>
      <c r="E7" s="184"/>
      <c r="F7" s="184"/>
      <c r="G7" s="184"/>
      <c r="H7" s="185"/>
      <c r="I7" s="185"/>
      <c r="J7" s="185"/>
      <c r="K7" s="184"/>
      <c r="L7" s="103"/>
      <c r="N7" s="186" t="s">
        <v>51</v>
      </c>
      <c r="O7" s="184"/>
      <c r="P7" s="184"/>
      <c r="Q7" s="184"/>
      <c r="R7" s="184"/>
      <c r="S7" s="184"/>
      <c r="T7" s="185"/>
      <c r="U7" s="185"/>
      <c r="V7" s="185"/>
      <c r="W7" s="184"/>
    </row>
    <row r="8" spans="1:23" x14ac:dyDescent="0.25">
      <c r="A8" s="1"/>
      <c r="B8" s="187" t="s">
        <v>70</v>
      </c>
      <c r="C8" s="188">
        <v>4831573</v>
      </c>
      <c r="D8" s="188">
        <v>1565303</v>
      </c>
      <c r="E8" s="188">
        <v>2335438</v>
      </c>
      <c r="F8" s="188">
        <v>4757683</v>
      </c>
      <c r="G8" s="188">
        <v>5188807</v>
      </c>
      <c r="H8" s="188">
        <v>5480280</v>
      </c>
      <c r="I8" s="189">
        <f>IFERROR(H8/G8-1,"-")</f>
        <v>5.6173413272068151E-2</v>
      </c>
      <c r="J8" s="188">
        <f t="shared" ref="J8:J20" si="0">H8-G8</f>
        <v>291473</v>
      </c>
      <c r="K8" s="189">
        <f t="shared" ref="K8:K20" si="1">H8/H$8</f>
        <v>1</v>
      </c>
      <c r="L8" s="103"/>
      <c r="N8" s="187" t="s">
        <v>70</v>
      </c>
      <c r="O8" s="188">
        <v>55887</v>
      </c>
      <c r="P8" s="188">
        <v>24221</v>
      </c>
      <c r="Q8" s="188">
        <v>33444</v>
      </c>
      <c r="R8" s="188">
        <v>51485</v>
      </c>
      <c r="S8" s="188">
        <v>58157</v>
      </c>
      <c r="T8" s="188">
        <v>57388</v>
      </c>
      <c r="U8" s="189">
        <f>IFERROR(T8/S8-1,"-")</f>
        <v>-1.3222827862510056E-2</v>
      </c>
      <c r="V8" s="188">
        <f>T8-S8</f>
        <v>-769</v>
      </c>
      <c r="W8" s="189">
        <f>T8/T$8</f>
        <v>1</v>
      </c>
    </row>
    <row r="9" spans="1:23" x14ac:dyDescent="0.25">
      <c r="A9" s="1" t="s">
        <v>98</v>
      </c>
      <c r="B9" s="190" t="s">
        <v>99</v>
      </c>
      <c r="C9" s="191">
        <v>1047557</v>
      </c>
      <c r="D9" s="191">
        <v>456683</v>
      </c>
      <c r="E9" s="191">
        <v>800301</v>
      </c>
      <c r="F9" s="191">
        <v>1016781</v>
      </c>
      <c r="G9" s="191">
        <v>1041269</v>
      </c>
      <c r="H9" s="191">
        <v>1058434</v>
      </c>
      <c r="I9" s="192">
        <f>IFERROR(H9/G9-1,"-")</f>
        <v>1.6484693196474609E-2</v>
      </c>
      <c r="J9" s="191">
        <f t="shared" si="0"/>
        <v>17165</v>
      </c>
      <c r="K9" s="192">
        <f t="shared" si="1"/>
        <v>0.19313502229813076</v>
      </c>
      <c r="L9" s="103"/>
      <c r="N9" s="190" t="s">
        <v>99</v>
      </c>
      <c r="O9" s="191">
        <v>37119</v>
      </c>
      <c r="P9" s="191">
        <v>16023</v>
      </c>
      <c r="Q9" s="191">
        <v>21732</v>
      </c>
      <c r="R9" s="191">
        <v>33809</v>
      </c>
      <c r="S9" s="191">
        <v>37722</v>
      </c>
      <c r="T9" s="191">
        <v>35821</v>
      </c>
      <c r="U9" s="192">
        <f>IFERROR(T9/S9-1,"-")</f>
        <v>-5.0394994963151474E-2</v>
      </c>
      <c r="V9" s="191">
        <f t="shared" ref="V9:V19" si="2">T9-S9</f>
        <v>-1901</v>
      </c>
      <c r="W9" s="192">
        <f>T9/T$8</f>
        <v>0.62418972607513767</v>
      </c>
    </row>
    <row r="10" spans="1:23" x14ac:dyDescent="0.25">
      <c r="A10" s="193" t="s">
        <v>105</v>
      </c>
      <c r="B10" s="194" t="s">
        <v>105</v>
      </c>
      <c r="C10" s="195">
        <v>415150</v>
      </c>
      <c r="D10" s="195">
        <v>208389</v>
      </c>
      <c r="E10" s="195">
        <v>416048</v>
      </c>
      <c r="F10" s="195">
        <v>423208</v>
      </c>
      <c r="G10" s="195">
        <v>428791</v>
      </c>
      <c r="H10" s="195">
        <v>421973</v>
      </c>
      <c r="I10" s="196">
        <f>IFERROR(H10/G10-1,"-")</f>
        <v>-1.5900520300099585E-2</v>
      </c>
      <c r="J10" s="195">
        <f t="shared" si="0"/>
        <v>-6818</v>
      </c>
      <c r="K10" s="196">
        <f t="shared" si="1"/>
        <v>7.6998438036012765E-2</v>
      </c>
      <c r="L10" s="103"/>
      <c r="N10" s="194" t="s">
        <v>105</v>
      </c>
      <c r="O10" s="195">
        <v>19153</v>
      </c>
      <c r="P10" s="195">
        <v>8684</v>
      </c>
      <c r="Q10" s="195">
        <v>11001</v>
      </c>
      <c r="R10" s="195">
        <v>16289</v>
      </c>
      <c r="S10" s="195">
        <v>12024</v>
      </c>
      <c r="T10" s="195">
        <v>11877</v>
      </c>
      <c r="U10" s="196">
        <f>IFERROR(T10/S10-1,"-")</f>
        <v>-1.2225548902195627E-2</v>
      </c>
      <c r="V10" s="195">
        <f t="shared" si="2"/>
        <v>-147</v>
      </c>
      <c r="W10" s="196">
        <f>T10/T$8</f>
        <v>0.20695964313096815</v>
      </c>
    </row>
    <row r="11" spans="1:23" x14ac:dyDescent="0.25">
      <c r="A11" s="193" t="s">
        <v>102</v>
      </c>
      <c r="B11" s="194" t="s">
        <v>102</v>
      </c>
      <c r="C11" s="195">
        <v>632407</v>
      </c>
      <c r="D11" s="195">
        <v>248294</v>
      </c>
      <c r="E11" s="195">
        <v>384253</v>
      </c>
      <c r="F11" s="195">
        <v>593573</v>
      </c>
      <c r="G11" s="195">
        <v>612478</v>
      </c>
      <c r="H11" s="195">
        <v>636461</v>
      </c>
      <c r="I11" s="196">
        <f>IFERROR(H11/G11-1,"-")</f>
        <v>3.915732483452472E-2</v>
      </c>
      <c r="J11" s="195">
        <f t="shared" si="0"/>
        <v>23983</v>
      </c>
      <c r="K11" s="196">
        <f t="shared" si="1"/>
        <v>0.116136584262118</v>
      </c>
      <c r="L11" s="103"/>
      <c r="N11" s="194" t="s">
        <v>102</v>
      </c>
      <c r="O11" s="195">
        <v>17966</v>
      </c>
      <c r="P11" s="195">
        <v>7339</v>
      </c>
      <c r="Q11" s="195">
        <v>10731</v>
      </c>
      <c r="R11" s="195">
        <v>17520</v>
      </c>
      <c r="S11" s="195">
        <v>25698</v>
      </c>
      <c r="T11" s="195">
        <v>23944</v>
      </c>
      <c r="U11" s="196">
        <f>IFERROR(T11/S11-1,"-")</f>
        <v>-6.8254338859055186E-2</v>
      </c>
      <c r="V11" s="195">
        <f t="shared" si="2"/>
        <v>-1754</v>
      </c>
      <c r="W11" s="196">
        <f>T11/T$8</f>
        <v>0.41723008294416952</v>
      </c>
    </row>
    <row r="12" spans="1:23" x14ac:dyDescent="0.25">
      <c r="A12" s="1"/>
      <c r="B12" s="190" t="s">
        <v>109</v>
      </c>
      <c r="C12" s="191">
        <v>3784016</v>
      </c>
      <c r="D12" s="191">
        <v>1108620</v>
      </c>
      <c r="E12" s="191">
        <v>1535137</v>
      </c>
      <c r="F12" s="191">
        <v>3740902</v>
      </c>
      <c r="G12" s="191">
        <v>4147538</v>
      </c>
      <c r="H12" s="191">
        <v>4421846</v>
      </c>
      <c r="I12" s="192">
        <f>IFERROR(H12/G12-1,"-")</f>
        <v>6.6137549553494157E-2</v>
      </c>
      <c r="J12" s="191">
        <f t="shared" si="0"/>
        <v>274308</v>
      </c>
      <c r="K12" s="192">
        <f t="shared" si="1"/>
        <v>0.80686497770186927</v>
      </c>
      <c r="L12" s="103"/>
      <c r="N12" s="190" t="s">
        <v>109</v>
      </c>
      <c r="O12" s="191">
        <v>18768</v>
      </c>
      <c r="P12" s="191">
        <v>8198</v>
      </c>
      <c r="Q12" s="191">
        <v>11712</v>
      </c>
      <c r="R12" s="191">
        <v>17676</v>
      </c>
      <c r="S12" s="191">
        <v>20435</v>
      </c>
      <c r="T12" s="191">
        <v>21567</v>
      </c>
      <c r="U12" s="192">
        <f>IFERROR(T12/S12-1,"-")</f>
        <v>5.539515537068751E-2</v>
      </c>
      <c r="V12" s="191">
        <f t="shared" si="2"/>
        <v>1132</v>
      </c>
      <c r="W12" s="192">
        <f>T12/T$8</f>
        <v>0.37581027392486233</v>
      </c>
    </row>
    <row r="13" spans="1:23" s="74" customFormat="1" x14ac:dyDescent="0.25">
      <c r="B13" s="194" t="s">
        <v>112</v>
      </c>
      <c r="C13" s="195">
        <v>1721079</v>
      </c>
      <c r="D13" s="195">
        <v>436137</v>
      </c>
      <c r="E13" s="195">
        <v>446045</v>
      </c>
      <c r="F13" s="195">
        <v>1722453</v>
      </c>
      <c r="G13" s="195">
        <v>1939344</v>
      </c>
      <c r="H13" s="195">
        <v>2075266</v>
      </c>
      <c r="I13" s="196">
        <f t="shared" ref="I13:I20" si="3">IFERROR(H13/G13-1,"-")</f>
        <v>7.0086585979588945E-2</v>
      </c>
      <c r="J13" s="195">
        <f t="shared" si="0"/>
        <v>135922</v>
      </c>
      <c r="K13" s="196">
        <f t="shared" si="1"/>
        <v>0.37867882662929631</v>
      </c>
      <c r="L13" s="197"/>
      <c r="N13" s="194" t="s">
        <v>112</v>
      </c>
      <c r="O13" s="195">
        <v>2421</v>
      </c>
      <c r="P13" s="195">
        <v>1288</v>
      </c>
      <c r="Q13" s="195">
        <v>921</v>
      </c>
      <c r="R13" s="195">
        <v>2403</v>
      </c>
      <c r="S13" s="195">
        <v>2795</v>
      </c>
      <c r="T13" s="195">
        <v>3030</v>
      </c>
      <c r="U13" s="196">
        <f t="shared" ref="U13:U20" si="4">IFERROR(T13/S13-1,"-")</f>
        <v>8.4078711985688726E-2</v>
      </c>
      <c r="V13" s="195">
        <f t="shared" si="2"/>
        <v>235</v>
      </c>
      <c r="W13" s="196">
        <f t="shared" ref="W13:W20" si="5">T13/T$8</f>
        <v>5.2798494458771869E-2</v>
      </c>
    </row>
    <row r="14" spans="1:23" s="74" customFormat="1" x14ac:dyDescent="0.25">
      <c r="B14" s="194" t="s">
        <v>115</v>
      </c>
      <c r="C14" s="195">
        <v>491040</v>
      </c>
      <c r="D14" s="195">
        <v>138922</v>
      </c>
      <c r="E14" s="195">
        <v>222501</v>
      </c>
      <c r="F14" s="195">
        <v>385709</v>
      </c>
      <c r="G14" s="195">
        <v>431586</v>
      </c>
      <c r="H14" s="195">
        <v>447017</v>
      </c>
      <c r="I14" s="196">
        <f t="shared" si="3"/>
        <v>3.5754171822070191E-2</v>
      </c>
      <c r="J14" s="195">
        <f t="shared" si="0"/>
        <v>15431</v>
      </c>
      <c r="K14" s="196">
        <f t="shared" si="1"/>
        <v>8.1568277533264719E-2</v>
      </c>
      <c r="L14" s="197"/>
      <c r="N14" s="194" t="s">
        <v>115</v>
      </c>
      <c r="O14" s="195">
        <v>3905</v>
      </c>
      <c r="P14" s="195">
        <v>1481</v>
      </c>
      <c r="Q14" s="195">
        <v>2395</v>
      </c>
      <c r="R14" s="195">
        <v>3482</v>
      </c>
      <c r="S14" s="195">
        <v>3814</v>
      </c>
      <c r="T14" s="195">
        <v>4234</v>
      </c>
      <c r="U14" s="196">
        <f t="shared" si="4"/>
        <v>0.11012060828526482</v>
      </c>
      <c r="V14" s="195">
        <f t="shared" si="2"/>
        <v>420</v>
      </c>
      <c r="W14" s="196">
        <f t="shared" si="5"/>
        <v>7.3778490276712905E-2</v>
      </c>
    </row>
    <row r="15" spans="1:23" x14ac:dyDescent="0.25">
      <c r="A15" s="1"/>
      <c r="B15" s="194" t="s">
        <v>118</v>
      </c>
      <c r="C15" s="195">
        <v>166950</v>
      </c>
      <c r="D15" s="195">
        <v>58766</v>
      </c>
      <c r="E15" s="195">
        <v>128102</v>
      </c>
      <c r="F15" s="195">
        <v>197280</v>
      </c>
      <c r="G15" s="195">
        <v>216824</v>
      </c>
      <c r="H15" s="195">
        <v>230379</v>
      </c>
      <c r="I15" s="196">
        <f t="shared" si="3"/>
        <v>6.2516142124487972E-2</v>
      </c>
      <c r="J15" s="195">
        <f t="shared" si="0"/>
        <v>13555</v>
      </c>
      <c r="K15" s="196">
        <f t="shared" si="1"/>
        <v>4.2037815586064946E-2</v>
      </c>
      <c r="L15" s="103"/>
      <c r="N15" s="194" t="s">
        <v>118</v>
      </c>
      <c r="O15" s="195">
        <v>3854</v>
      </c>
      <c r="P15" s="195">
        <v>1974</v>
      </c>
      <c r="Q15" s="195">
        <v>3541</v>
      </c>
      <c r="R15" s="195">
        <v>3412</v>
      </c>
      <c r="S15" s="195">
        <v>3885</v>
      </c>
      <c r="T15" s="195">
        <v>3685</v>
      </c>
      <c r="U15" s="196">
        <f t="shared" si="4"/>
        <v>-5.1480051480051525E-2</v>
      </c>
      <c r="V15" s="195">
        <f t="shared" si="2"/>
        <v>-200</v>
      </c>
      <c r="W15" s="196">
        <f t="shared" si="5"/>
        <v>6.4212030389628499E-2</v>
      </c>
    </row>
    <row r="16" spans="1:23" x14ac:dyDescent="0.25">
      <c r="A16" s="1"/>
      <c r="B16" s="194" t="s">
        <v>125</v>
      </c>
      <c r="C16" s="195">
        <v>137818</v>
      </c>
      <c r="D16" s="195">
        <v>39662</v>
      </c>
      <c r="E16" s="195">
        <v>93209</v>
      </c>
      <c r="F16" s="195">
        <v>169583</v>
      </c>
      <c r="G16" s="195">
        <v>165044</v>
      </c>
      <c r="H16" s="195">
        <v>174675</v>
      </c>
      <c r="I16" s="196">
        <f t="shared" si="3"/>
        <v>5.8354135866799162E-2</v>
      </c>
      <c r="J16" s="195">
        <f t="shared" si="0"/>
        <v>9631</v>
      </c>
      <c r="K16" s="196">
        <f t="shared" si="1"/>
        <v>3.1873371433576388E-2</v>
      </c>
      <c r="L16" s="103"/>
      <c r="N16" s="194" t="s">
        <v>125</v>
      </c>
      <c r="O16" s="195">
        <v>699</v>
      </c>
      <c r="P16" s="195">
        <v>323</v>
      </c>
      <c r="Q16" s="195">
        <v>432</v>
      </c>
      <c r="R16" s="195">
        <v>1172</v>
      </c>
      <c r="S16" s="195">
        <v>938</v>
      </c>
      <c r="T16" s="195">
        <v>933</v>
      </c>
      <c r="U16" s="196">
        <f t="shared" si="4"/>
        <v>-5.3304904051172386E-3</v>
      </c>
      <c r="V16" s="195">
        <f t="shared" si="2"/>
        <v>-5</v>
      </c>
      <c r="W16" s="196">
        <f t="shared" si="5"/>
        <v>1.6257754234334704E-2</v>
      </c>
    </row>
    <row r="17" spans="1:23" x14ac:dyDescent="0.25">
      <c r="A17" s="1"/>
      <c r="B17" s="194" t="s">
        <v>121</v>
      </c>
      <c r="C17" s="195">
        <v>133862</v>
      </c>
      <c r="D17" s="195">
        <v>55544</v>
      </c>
      <c r="E17" s="195">
        <v>93337</v>
      </c>
      <c r="F17" s="195">
        <v>146133</v>
      </c>
      <c r="G17" s="195">
        <v>151265</v>
      </c>
      <c r="H17" s="195">
        <v>157483</v>
      </c>
      <c r="I17" s="196">
        <f t="shared" si="3"/>
        <v>4.1106667107394301E-2</v>
      </c>
      <c r="J17" s="195">
        <f t="shared" si="0"/>
        <v>6218</v>
      </c>
      <c r="K17" s="196">
        <f t="shared" si="1"/>
        <v>2.8736305444247375E-2</v>
      </c>
      <c r="L17" s="103"/>
      <c r="N17" s="194" t="s">
        <v>121</v>
      </c>
      <c r="O17" s="195">
        <v>519</v>
      </c>
      <c r="P17" s="195">
        <v>351</v>
      </c>
      <c r="Q17" s="195">
        <v>507</v>
      </c>
      <c r="R17" s="195">
        <v>682</v>
      </c>
      <c r="S17" s="195">
        <v>650</v>
      </c>
      <c r="T17" s="195">
        <v>903</v>
      </c>
      <c r="U17" s="196">
        <f t="shared" si="4"/>
        <v>0.38923076923076927</v>
      </c>
      <c r="V17" s="195">
        <f t="shared" si="2"/>
        <v>253</v>
      </c>
      <c r="W17" s="196">
        <f t="shared" si="5"/>
        <v>1.5734996863455773E-2</v>
      </c>
    </row>
    <row r="18" spans="1:23" x14ac:dyDescent="0.25">
      <c r="A18" s="1"/>
      <c r="B18" s="194" t="s">
        <v>130</v>
      </c>
      <c r="C18" s="195">
        <v>74390</v>
      </c>
      <c r="D18" s="195">
        <v>28784</v>
      </c>
      <c r="E18" s="195">
        <v>25400</v>
      </c>
      <c r="F18" s="195">
        <v>62340</v>
      </c>
      <c r="G18" s="195">
        <v>67966</v>
      </c>
      <c r="H18" s="195">
        <v>63716</v>
      </c>
      <c r="I18" s="196">
        <f t="shared" si="3"/>
        <v>-6.2531265632816413E-2</v>
      </c>
      <c r="J18" s="195">
        <f t="shared" si="0"/>
        <v>-4250</v>
      </c>
      <c r="K18" s="196">
        <f t="shared" si="1"/>
        <v>1.1626413248958082E-2</v>
      </c>
      <c r="L18" s="103"/>
      <c r="N18" s="194" t="s">
        <v>130</v>
      </c>
      <c r="O18" s="195">
        <v>155</v>
      </c>
      <c r="P18" s="195">
        <v>124</v>
      </c>
      <c r="Q18" s="195">
        <v>105</v>
      </c>
      <c r="R18" s="195">
        <v>270</v>
      </c>
      <c r="S18" s="195">
        <v>153</v>
      </c>
      <c r="T18" s="195">
        <v>230</v>
      </c>
      <c r="U18" s="196">
        <f t="shared" si="4"/>
        <v>0.50326797385620914</v>
      </c>
      <c r="V18" s="195">
        <f t="shared" si="2"/>
        <v>77</v>
      </c>
      <c r="W18" s="196">
        <f t="shared" si="5"/>
        <v>4.0078065100717921E-3</v>
      </c>
    </row>
    <row r="19" spans="1:23" x14ac:dyDescent="0.25">
      <c r="A19" s="193" t="s">
        <v>146</v>
      </c>
      <c r="B19" s="194" t="s">
        <v>133</v>
      </c>
      <c r="C19" s="195">
        <v>106028</v>
      </c>
      <c r="D19" s="195">
        <v>42711</v>
      </c>
      <c r="E19" s="195">
        <v>22147</v>
      </c>
      <c r="F19" s="195">
        <v>56752</v>
      </c>
      <c r="G19" s="195">
        <v>70972</v>
      </c>
      <c r="H19" s="195">
        <v>68752</v>
      </c>
      <c r="I19" s="196">
        <f t="shared" si="3"/>
        <v>-3.1279941385335075E-2</v>
      </c>
      <c r="J19" s="195">
        <f t="shared" si="0"/>
        <v>-2220</v>
      </c>
      <c r="K19" s="196">
        <f t="shared" si="1"/>
        <v>1.2545344398461392E-2</v>
      </c>
      <c r="L19" s="103"/>
      <c r="N19" s="194" t="s">
        <v>133</v>
      </c>
      <c r="O19" s="195">
        <v>271</v>
      </c>
      <c r="P19" s="195">
        <v>89</v>
      </c>
      <c r="Q19" s="195">
        <v>96</v>
      </c>
      <c r="R19" s="195">
        <v>168</v>
      </c>
      <c r="S19" s="195">
        <v>270</v>
      </c>
      <c r="T19" s="195">
        <v>384</v>
      </c>
      <c r="U19" s="196">
        <f t="shared" si="4"/>
        <v>0.42222222222222228</v>
      </c>
      <c r="V19" s="195">
        <f t="shared" si="2"/>
        <v>114</v>
      </c>
      <c r="W19" s="196">
        <f t="shared" si="5"/>
        <v>6.6912943472502966E-3</v>
      </c>
    </row>
    <row r="20" spans="1:23" x14ac:dyDescent="0.25">
      <c r="A20" s="198" t="s">
        <v>147</v>
      </c>
      <c r="B20" s="199" t="s">
        <v>147</v>
      </c>
      <c r="C20" s="200">
        <f t="shared" ref="C20:H20" si="6">C12-SUM(C13:C19)</f>
        <v>952849</v>
      </c>
      <c r="D20" s="200">
        <f t="shared" si="6"/>
        <v>308094</v>
      </c>
      <c r="E20" s="200">
        <f t="shared" si="6"/>
        <v>504396</v>
      </c>
      <c r="F20" s="200">
        <f t="shared" si="6"/>
        <v>1000652</v>
      </c>
      <c r="G20" s="200">
        <f t="shared" si="6"/>
        <v>1104537</v>
      </c>
      <c r="H20" s="200">
        <f t="shared" si="6"/>
        <v>1204558</v>
      </c>
      <c r="I20" s="201">
        <f t="shared" si="3"/>
        <v>9.0554684904172511E-2</v>
      </c>
      <c r="J20" s="200">
        <f t="shared" si="0"/>
        <v>100021</v>
      </c>
      <c r="K20" s="201">
        <f t="shared" si="1"/>
        <v>0.21979862342800002</v>
      </c>
      <c r="L20" s="103"/>
      <c r="N20" s="199" t="s">
        <v>147</v>
      </c>
      <c r="O20" s="200">
        <f t="shared" ref="O20:T20" si="7">O12-SUM(O13:O19)</f>
        <v>6944</v>
      </c>
      <c r="P20" s="200">
        <f t="shared" si="7"/>
        <v>2568</v>
      </c>
      <c r="Q20" s="200">
        <f t="shared" si="7"/>
        <v>3715</v>
      </c>
      <c r="R20" s="200">
        <f t="shared" si="7"/>
        <v>6087</v>
      </c>
      <c r="S20" s="200">
        <f t="shared" si="7"/>
        <v>7930</v>
      </c>
      <c r="T20" s="200">
        <f t="shared" si="7"/>
        <v>8168</v>
      </c>
      <c r="U20" s="201">
        <f t="shared" si="4"/>
        <v>3.0012610340479196E-2</v>
      </c>
      <c r="V20" s="200">
        <f>T20-S20</f>
        <v>238</v>
      </c>
      <c r="W20" s="201">
        <f t="shared" si="5"/>
        <v>0.14232940684463652</v>
      </c>
    </row>
    <row r="21" spans="1:23" x14ac:dyDescent="0.25">
      <c r="B21" s="186" t="s">
        <v>46</v>
      </c>
      <c r="C21" s="184"/>
      <c r="D21" s="184"/>
      <c r="E21" s="184"/>
      <c r="F21" s="184"/>
      <c r="G21" s="184"/>
      <c r="H21" s="185"/>
      <c r="I21" s="185"/>
      <c r="J21" s="185"/>
      <c r="K21" s="184"/>
      <c r="L21" s="202"/>
      <c r="M21" s="202"/>
      <c r="N21" s="202"/>
    </row>
    <row r="22" spans="1:23" x14ac:dyDescent="0.25">
      <c r="B22" s="187" t="s">
        <v>70</v>
      </c>
      <c r="C22" s="188">
        <v>1762715</v>
      </c>
      <c r="D22" s="188">
        <v>550867</v>
      </c>
      <c r="E22" s="188">
        <v>881045</v>
      </c>
      <c r="F22" s="188">
        <v>1757049</v>
      </c>
      <c r="G22" s="188">
        <v>1888332</v>
      </c>
      <c r="H22" s="188">
        <v>1938898</v>
      </c>
      <c r="I22" s="189">
        <f>IFERROR(H22/G22-1,"-")</f>
        <v>2.677813011694985E-2</v>
      </c>
      <c r="J22" s="188">
        <f>H22-G22</f>
        <v>50566</v>
      </c>
      <c r="K22" s="189">
        <f>H22/H$8</f>
        <v>0.35379542651105417</v>
      </c>
      <c r="L22" s="131"/>
      <c r="M22" s="131"/>
      <c r="N22" s="131"/>
    </row>
    <row r="23" spans="1:23" x14ac:dyDescent="0.25">
      <c r="B23" s="190" t="s">
        <v>99</v>
      </c>
      <c r="C23" s="191">
        <v>222987</v>
      </c>
      <c r="D23" s="191">
        <v>117997</v>
      </c>
      <c r="E23" s="191">
        <v>247584</v>
      </c>
      <c r="F23" s="191">
        <v>207208</v>
      </c>
      <c r="G23" s="191">
        <v>181512</v>
      </c>
      <c r="H23" s="191">
        <v>161819</v>
      </c>
      <c r="I23" s="192">
        <f>IFERROR(H23/G23-1,"-")</f>
        <v>-0.10849420423994005</v>
      </c>
      <c r="J23" s="191">
        <f t="shared" ref="J23:J33" si="8">H23-G23</f>
        <v>-19693</v>
      </c>
      <c r="K23" s="192">
        <f>H23/H$8</f>
        <v>2.9527505893859437E-2</v>
      </c>
    </row>
    <row r="24" spans="1:23" x14ac:dyDescent="0.25">
      <c r="B24" s="194" t="s">
        <v>105</v>
      </c>
      <c r="C24" s="195">
        <v>113067</v>
      </c>
      <c r="D24" s="195">
        <v>68476</v>
      </c>
      <c r="E24" s="195">
        <v>126666</v>
      </c>
      <c r="F24" s="195">
        <v>86811</v>
      </c>
      <c r="G24" s="195">
        <v>75374</v>
      </c>
      <c r="H24" s="195">
        <v>60650</v>
      </c>
      <c r="I24" s="196">
        <f>IFERROR(H24/G24-1,"-")</f>
        <v>-0.19534587523549229</v>
      </c>
      <c r="J24" s="195">
        <f t="shared" si="8"/>
        <v>-14724</v>
      </c>
      <c r="K24" s="196">
        <f>H24/H$8</f>
        <v>1.1066952783434423E-2</v>
      </c>
    </row>
    <row r="25" spans="1:23" x14ac:dyDescent="0.25">
      <c r="B25" s="194" t="s">
        <v>102</v>
      </c>
      <c r="C25" s="195">
        <v>109920</v>
      </c>
      <c r="D25" s="195">
        <v>49521</v>
      </c>
      <c r="E25" s="195">
        <v>120918</v>
      </c>
      <c r="F25" s="195">
        <v>120397</v>
      </c>
      <c r="G25" s="195">
        <v>106138</v>
      </c>
      <c r="H25" s="195">
        <v>101169</v>
      </c>
      <c r="I25" s="196">
        <f>IFERROR(H25/G25-1,"-")</f>
        <v>-4.6816408826245048E-2</v>
      </c>
      <c r="J25" s="195">
        <f t="shared" si="8"/>
        <v>-4969</v>
      </c>
      <c r="K25" s="196">
        <f>H25/H$8</f>
        <v>1.8460553110425014E-2</v>
      </c>
    </row>
    <row r="26" spans="1:23" x14ac:dyDescent="0.25">
      <c r="B26" s="190" t="s">
        <v>109</v>
      </c>
      <c r="C26" s="191">
        <v>1539728</v>
      </c>
      <c r="D26" s="191">
        <v>432870</v>
      </c>
      <c r="E26" s="191">
        <v>633461</v>
      </c>
      <c r="F26" s="191">
        <v>1549841</v>
      </c>
      <c r="G26" s="191">
        <v>1706820</v>
      </c>
      <c r="H26" s="191">
        <v>1777079</v>
      </c>
      <c r="I26" s="192">
        <f>IFERROR(H26/G26-1,"-")</f>
        <v>4.1163684512719456E-2</v>
      </c>
      <c r="J26" s="191">
        <f t="shared" si="8"/>
        <v>70259</v>
      </c>
      <c r="K26" s="192">
        <f>H26/H$8</f>
        <v>0.32426792061719473</v>
      </c>
    </row>
    <row r="27" spans="1:23" x14ac:dyDescent="0.25">
      <c r="B27" s="194" t="s">
        <v>112</v>
      </c>
      <c r="C27" s="195">
        <v>757594</v>
      </c>
      <c r="D27" s="195">
        <v>187852</v>
      </c>
      <c r="E27" s="195">
        <v>208305</v>
      </c>
      <c r="F27" s="195">
        <v>783677</v>
      </c>
      <c r="G27" s="195">
        <v>883653</v>
      </c>
      <c r="H27" s="195">
        <v>930359</v>
      </c>
      <c r="I27" s="196">
        <f t="shared" ref="I27:I34" si="9">IFERROR(H27/G27-1,"-")</f>
        <v>5.2855589241478373E-2</v>
      </c>
      <c r="J27" s="195">
        <f t="shared" si="8"/>
        <v>46706</v>
      </c>
      <c r="K27" s="196">
        <f t="shared" ref="K27:K34" si="10">H27/H$8</f>
        <v>0.16976486602874305</v>
      </c>
    </row>
    <row r="28" spans="1:23" x14ac:dyDescent="0.25">
      <c r="B28" s="194" t="s">
        <v>115</v>
      </c>
      <c r="C28" s="195">
        <v>201016</v>
      </c>
      <c r="D28" s="195">
        <v>57141</v>
      </c>
      <c r="E28" s="195">
        <v>103865</v>
      </c>
      <c r="F28" s="195">
        <v>169299</v>
      </c>
      <c r="G28" s="195">
        <v>182538</v>
      </c>
      <c r="H28" s="195">
        <v>183463</v>
      </c>
      <c r="I28" s="196">
        <f t="shared" si="9"/>
        <v>5.0674380129069885E-3</v>
      </c>
      <c r="J28" s="195">
        <f t="shared" si="8"/>
        <v>925</v>
      </c>
      <c r="K28" s="196">
        <f t="shared" si="10"/>
        <v>3.3476939134496779E-2</v>
      </c>
    </row>
    <row r="29" spans="1:23" x14ac:dyDescent="0.25">
      <c r="B29" s="194" t="s">
        <v>118</v>
      </c>
      <c r="C29" s="195">
        <v>52571</v>
      </c>
      <c r="D29" s="195">
        <v>20504</v>
      </c>
      <c r="E29" s="195">
        <v>42447</v>
      </c>
      <c r="F29" s="195">
        <v>63176</v>
      </c>
      <c r="G29" s="195">
        <v>65334</v>
      </c>
      <c r="H29" s="195">
        <v>57978</v>
      </c>
      <c r="I29" s="196">
        <f t="shared" si="9"/>
        <v>-0.11259068785012394</v>
      </c>
      <c r="J29" s="195">
        <f t="shared" si="8"/>
        <v>-7356</v>
      </c>
      <c r="K29" s="196">
        <f t="shared" si="10"/>
        <v>1.0579386454706694E-2</v>
      </c>
    </row>
    <row r="30" spans="1:23" x14ac:dyDescent="0.25">
      <c r="B30" s="194" t="s">
        <v>125</v>
      </c>
      <c r="C30" s="195">
        <v>61428</v>
      </c>
      <c r="D30" s="195">
        <v>17078</v>
      </c>
      <c r="E30" s="195">
        <v>41550</v>
      </c>
      <c r="F30" s="195">
        <v>75901</v>
      </c>
      <c r="G30" s="195">
        <v>70878</v>
      </c>
      <c r="H30" s="195">
        <v>71598</v>
      </c>
      <c r="I30" s="196">
        <f t="shared" si="9"/>
        <v>1.0158300177770307E-2</v>
      </c>
      <c r="J30" s="195">
        <f t="shared" si="8"/>
        <v>720</v>
      </c>
      <c r="K30" s="196">
        <f t="shared" si="10"/>
        <v>1.3064660929733518E-2</v>
      </c>
    </row>
    <row r="31" spans="1:23" x14ac:dyDescent="0.25">
      <c r="B31" s="194" t="s">
        <v>121</v>
      </c>
      <c r="C31" s="195">
        <v>70272</v>
      </c>
      <c r="D31" s="195">
        <v>28980</v>
      </c>
      <c r="E31" s="195">
        <v>51893</v>
      </c>
      <c r="F31" s="195">
        <v>82793</v>
      </c>
      <c r="G31" s="195">
        <v>80226</v>
      </c>
      <c r="H31" s="195">
        <v>81717</v>
      </c>
      <c r="I31" s="196">
        <f t="shared" si="9"/>
        <v>1.858499738239483E-2</v>
      </c>
      <c r="J31" s="195">
        <f t="shared" si="8"/>
        <v>1491</v>
      </c>
      <c r="K31" s="196">
        <f t="shared" si="10"/>
        <v>1.4911099432875692E-2</v>
      </c>
    </row>
    <row r="32" spans="1:23" x14ac:dyDescent="0.25">
      <c r="B32" s="194" t="s">
        <v>130</v>
      </c>
      <c r="C32" s="195">
        <v>30964</v>
      </c>
      <c r="D32" s="195">
        <v>11625</v>
      </c>
      <c r="E32" s="195">
        <v>7603</v>
      </c>
      <c r="F32" s="195">
        <v>22864</v>
      </c>
      <c r="G32" s="195">
        <v>24590</v>
      </c>
      <c r="H32" s="195">
        <v>24160</v>
      </c>
      <c r="I32" s="196">
        <f t="shared" si="9"/>
        <v>-1.7486783245221682E-2</v>
      </c>
      <c r="J32" s="195">
        <f t="shared" si="8"/>
        <v>-430</v>
      </c>
      <c r="K32" s="196">
        <f t="shared" si="10"/>
        <v>4.4085338705321629E-3</v>
      </c>
    </row>
    <row r="33" spans="2:14" x14ac:dyDescent="0.25">
      <c r="B33" s="194" t="s">
        <v>133</v>
      </c>
      <c r="C33" s="195">
        <v>35546</v>
      </c>
      <c r="D33" s="195">
        <v>13377</v>
      </c>
      <c r="E33" s="195">
        <v>5465</v>
      </c>
      <c r="F33" s="195">
        <v>19705</v>
      </c>
      <c r="G33" s="195">
        <v>25667</v>
      </c>
      <c r="H33" s="195">
        <v>23273</v>
      </c>
      <c r="I33" s="196">
        <f t="shared" si="9"/>
        <v>-9.3271515954338247E-2</v>
      </c>
      <c r="J33" s="195">
        <f t="shared" si="8"/>
        <v>-2394</v>
      </c>
      <c r="K33" s="196">
        <f t="shared" si="10"/>
        <v>4.2466808265271116E-3</v>
      </c>
    </row>
    <row r="34" spans="2:14" x14ac:dyDescent="0.25">
      <c r="B34" s="199" t="s">
        <v>147</v>
      </c>
      <c r="C34" s="200">
        <f t="shared" ref="C34:H34" si="11">C26-SUM(C27:C33)</f>
        <v>330337</v>
      </c>
      <c r="D34" s="200">
        <f t="shared" si="11"/>
        <v>96313</v>
      </c>
      <c r="E34" s="200">
        <f t="shared" si="11"/>
        <v>172333</v>
      </c>
      <c r="F34" s="200">
        <f t="shared" si="11"/>
        <v>332426</v>
      </c>
      <c r="G34" s="200">
        <f t="shared" si="11"/>
        <v>373934</v>
      </c>
      <c r="H34" s="200">
        <f t="shared" si="11"/>
        <v>404531</v>
      </c>
      <c r="I34" s="201">
        <f t="shared" si="9"/>
        <v>8.1824600063112651E-2</v>
      </c>
      <c r="J34" s="200">
        <f>H34-G34</f>
        <v>30597</v>
      </c>
      <c r="K34" s="201">
        <f t="shared" si="10"/>
        <v>7.3815753939579731E-2</v>
      </c>
    </row>
    <row r="35" spans="2:14" x14ac:dyDescent="0.25">
      <c r="B35" s="186" t="s">
        <v>47</v>
      </c>
      <c r="C35" s="184"/>
      <c r="D35" s="184"/>
      <c r="E35" s="184"/>
      <c r="F35" s="184"/>
      <c r="G35" s="184"/>
      <c r="H35" s="185"/>
      <c r="I35" s="185"/>
      <c r="J35" s="185"/>
      <c r="K35" s="184"/>
      <c r="L35" s="202"/>
      <c r="M35" s="202"/>
      <c r="N35" s="202"/>
    </row>
    <row r="36" spans="2:14" x14ac:dyDescent="0.25">
      <c r="B36" s="187" t="s">
        <v>70</v>
      </c>
      <c r="C36" s="188">
        <v>1299411</v>
      </c>
      <c r="D36" s="188">
        <v>375345</v>
      </c>
      <c r="E36" s="188">
        <v>492258</v>
      </c>
      <c r="F36" s="188">
        <v>1243535</v>
      </c>
      <c r="G36" s="188">
        <v>1319978</v>
      </c>
      <c r="H36" s="188">
        <v>1387823</v>
      </c>
      <c r="I36" s="189">
        <f>IFERROR(H36/G36-1,"-")</f>
        <v>5.139858391579244E-2</v>
      </c>
      <c r="J36" s="188">
        <f>H36-G36</f>
        <v>67845</v>
      </c>
      <c r="K36" s="189">
        <f>H36/H$8</f>
        <v>0.2532394330216704</v>
      </c>
      <c r="L36" s="131"/>
      <c r="M36" s="131"/>
      <c r="N36" s="131"/>
    </row>
    <row r="37" spans="2:14" x14ac:dyDescent="0.25">
      <c r="B37" s="190" t="s">
        <v>99</v>
      </c>
      <c r="C37" s="191">
        <v>127819</v>
      </c>
      <c r="D37" s="191">
        <v>51760</v>
      </c>
      <c r="E37" s="191">
        <v>83468</v>
      </c>
      <c r="F37" s="191">
        <v>123951</v>
      </c>
      <c r="G37" s="191">
        <v>118966</v>
      </c>
      <c r="H37" s="191">
        <v>114660</v>
      </c>
      <c r="I37" s="192">
        <f>IFERROR(H37/G37-1,"-")</f>
        <v>-3.6195215439705497E-2</v>
      </c>
      <c r="J37" s="191">
        <f t="shared" ref="J37:J47" si="12">H37-G37</f>
        <v>-4306</v>
      </c>
      <c r="K37" s="192">
        <f>H37/H$8</f>
        <v>2.0922288642186166E-2</v>
      </c>
    </row>
    <row r="38" spans="2:14" x14ac:dyDescent="0.25">
      <c r="B38" s="194" t="s">
        <v>105</v>
      </c>
      <c r="C38" s="195">
        <v>51328</v>
      </c>
      <c r="D38" s="195">
        <v>24912</v>
      </c>
      <c r="E38" s="195">
        <v>43482</v>
      </c>
      <c r="F38" s="195">
        <v>48094</v>
      </c>
      <c r="G38" s="195">
        <v>51902</v>
      </c>
      <c r="H38" s="195">
        <v>50245</v>
      </c>
      <c r="I38" s="196">
        <f>IFERROR(H38/G38-1,"-")</f>
        <v>-3.1925552001849655E-2</v>
      </c>
      <c r="J38" s="195">
        <f t="shared" si="12"/>
        <v>-1657</v>
      </c>
      <c r="K38" s="196">
        <f>H38/H$8</f>
        <v>9.1683271657652526E-3</v>
      </c>
    </row>
    <row r="39" spans="2:14" x14ac:dyDescent="0.25">
      <c r="B39" s="194" t="s">
        <v>102</v>
      </c>
      <c r="C39" s="195">
        <v>76491</v>
      </c>
      <c r="D39" s="195">
        <v>26848</v>
      </c>
      <c r="E39" s="195">
        <v>39986</v>
      </c>
      <c r="F39" s="195">
        <v>75857</v>
      </c>
      <c r="G39" s="195">
        <v>67064</v>
      </c>
      <c r="H39" s="195">
        <v>64415</v>
      </c>
      <c r="I39" s="196">
        <f>IFERROR(H39/G39-1,"-")</f>
        <v>-3.9499582488369267E-2</v>
      </c>
      <c r="J39" s="195">
        <f t="shared" si="12"/>
        <v>-2649</v>
      </c>
      <c r="K39" s="196">
        <f>H39/H$8</f>
        <v>1.1753961476420913E-2</v>
      </c>
    </row>
    <row r="40" spans="2:14" x14ac:dyDescent="0.25">
      <c r="B40" s="190" t="s">
        <v>109</v>
      </c>
      <c r="C40" s="191">
        <v>1171592</v>
      </c>
      <c r="D40" s="191">
        <v>323585</v>
      </c>
      <c r="E40" s="191">
        <v>408790</v>
      </c>
      <c r="F40" s="191">
        <v>1119584</v>
      </c>
      <c r="G40" s="191">
        <v>1201012</v>
      </c>
      <c r="H40" s="191">
        <v>1273163</v>
      </c>
      <c r="I40" s="192">
        <f>IFERROR(H40/G40-1,"-")</f>
        <v>6.007516994001727E-2</v>
      </c>
      <c r="J40" s="191">
        <f t="shared" si="12"/>
        <v>72151</v>
      </c>
      <c r="K40" s="192">
        <f>H40/H$8</f>
        <v>0.23231714437948425</v>
      </c>
    </row>
    <row r="41" spans="2:14" x14ac:dyDescent="0.25">
      <c r="B41" s="194" t="s">
        <v>112</v>
      </c>
      <c r="C41" s="195">
        <v>640459</v>
      </c>
      <c r="D41" s="195">
        <v>146501</v>
      </c>
      <c r="E41" s="195">
        <v>142606</v>
      </c>
      <c r="F41" s="195">
        <v>581865</v>
      </c>
      <c r="G41" s="195">
        <v>634691</v>
      </c>
      <c r="H41" s="195">
        <v>683651</v>
      </c>
      <c r="I41" s="196">
        <f t="shared" ref="I41:I48" si="13">IFERROR(H41/G41-1,"-")</f>
        <v>7.7139899573178239E-2</v>
      </c>
      <c r="J41" s="195">
        <f t="shared" si="12"/>
        <v>48960</v>
      </c>
      <c r="K41" s="196">
        <f t="shared" ref="K41:K48" si="14">H41/H$8</f>
        <v>0.12474745815907216</v>
      </c>
    </row>
    <row r="42" spans="2:14" x14ac:dyDescent="0.25">
      <c r="B42" s="194" t="s">
        <v>115</v>
      </c>
      <c r="C42" s="195">
        <v>52401</v>
      </c>
      <c r="D42" s="195">
        <v>16159</v>
      </c>
      <c r="E42" s="195">
        <v>21846</v>
      </c>
      <c r="F42" s="195">
        <v>39072</v>
      </c>
      <c r="G42" s="195">
        <v>45133</v>
      </c>
      <c r="H42" s="195">
        <v>44501</v>
      </c>
      <c r="I42" s="196">
        <f t="shared" si="13"/>
        <v>-1.4003057629672355E-2</v>
      </c>
      <c r="J42" s="195">
        <f t="shared" si="12"/>
        <v>-632</v>
      </c>
      <c r="K42" s="196">
        <f t="shared" si="14"/>
        <v>8.1202055369433684E-3</v>
      </c>
    </row>
    <row r="43" spans="2:14" x14ac:dyDescent="0.25">
      <c r="B43" s="194" t="s">
        <v>118</v>
      </c>
      <c r="C43" s="195">
        <v>24405</v>
      </c>
      <c r="D43" s="195">
        <v>9702</v>
      </c>
      <c r="E43" s="195">
        <v>19919</v>
      </c>
      <c r="F43" s="195">
        <v>27268</v>
      </c>
      <c r="G43" s="195">
        <v>28898</v>
      </c>
      <c r="H43" s="195">
        <v>29098</v>
      </c>
      <c r="I43" s="196">
        <f t="shared" si="13"/>
        <v>6.9208941795280143E-3</v>
      </c>
      <c r="J43" s="195">
        <f t="shared" si="12"/>
        <v>200</v>
      </c>
      <c r="K43" s="196">
        <f t="shared" si="14"/>
        <v>5.3095827220506981E-3</v>
      </c>
    </row>
    <row r="44" spans="2:14" x14ac:dyDescent="0.25">
      <c r="B44" s="194" t="s">
        <v>125</v>
      </c>
      <c r="C44" s="195">
        <v>53890</v>
      </c>
      <c r="D44" s="195">
        <v>15410</v>
      </c>
      <c r="E44" s="195">
        <v>30677</v>
      </c>
      <c r="F44" s="195">
        <v>57015</v>
      </c>
      <c r="G44" s="195">
        <v>55478</v>
      </c>
      <c r="H44" s="195">
        <v>57898</v>
      </c>
      <c r="I44" s="196">
        <f t="shared" si="13"/>
        <v>4.3620894769097696E-2</v>
      </c>
      <c r="J44" s="195">
        <f t="shared" si="12"/>
        <v>2420</v>
      </c>
      <c r="K44" s="196">
        <f t="shared" si="14"/>
        <v>1.0564788660433408E-2</v>
      </c>
    </row>
    <row r="45" spans="2:14" x14ac:dyDescent="0.25">
      <c r="B45" s="194" t="s">
        <v>121</v>
      </c>
      <c r="C45" s="195">
        <v>41202</v>
      </c>
      <c r="D45" s="195">
        <v>15534</v>
      </c>
      <c r="E45" s="195">
        <v>22807</v>
      </c>
      <c r="F45" s="195">
        <v>38767</v>
      </c>
      <c r="G45" s="195">
        <v>44187</v>
      </c>
      <c r="H45" s="195">
        <v>44633</v>
      </c>
      <c r="I45" s="196">
        <f t="shared" si="13"/>
        <v>1.0093466404146101E-2</v>
      </c>
      <c r="J45" s="195">
        <f t="shared" si="12"/>
        <v>446</v>
      </c>
      <c r="K45" s="196">
        <f t="shared" si="14"/>
        <v>8.1442918974942886E-3</v>
      </c>
    </row>
    <row r="46" spans="2:14" x14ac:dyDescent="0.25">
      <c r="B46" s="194" t="s">
        <v>130</v>
      </c>
      <c r="C46" s="195">
        <v>26919</v>
      </c>
      <c r="D46" s="195">
        <v>9750</v>
      </c>
      <c r="E46" s="195">
        <v>10533</v>
      </c>
      <c r="F46" s="195">
        <v>22457</v>
      </c>
      <c r="G46" s="195">
        <v>23505</v>
      </c>
      <c r="H46" s="195">
        <v>22219</v>
      </c>
      <c r="I46" s="196">
        <f t="shared" si="13"/>
        <v>-5.4711763454584172E-2</v>
      </c>
      <c r="J46" s="195">
        <f t="shared" si="12"/>
        <v>-1286</v>
      </c>
      <c r="K46" s="196">
        <f t="shared" si="14"/>
        <v>4.0543548869765777E-3</v>
      </c>
    </row>
    <row r="47" spans="2:14" x14ac:dyDescent="0.25">
      <c r="B47" s="194" t="s">
        <v>133</v>
      </c>
      <c r="C47" s="195">
        <v>42509</v>
      </c>
      <c r="D47" s="195">
        <v>16737</v>
      </c>
      <c r="E47" s="195">
        <v>10472</v>
      </c>
      <c r="F47" s="195">
        <v>22560</v>
      </c>
      <c r="G47" s="195">
        <v>26526</v>
      </c>
      <c r="H47" s="195">
        <v>24735</v>
      </c>
      <c r="I47" s="196">
        <f t="shared" si="13"/>
        <v>-6.7518660936439767E-2</v>
      </c>
      <c r="J47" s="195">
        <f t="shared" si="12"/>
        <v>-1791</v>
      </c>
      <c r="K47" s="196">
        <f t="shared" si="14"/>
        <v>4.5134555168714011E-3</v>
      </c>
    </row>
    <row r="48" spans="2:14" x14ac:dyDescent="0.25">
      <c r="B48" s="199" t="s">
        <v>147</v>
      </c>
      <c r="C48" s="200">
        <f t="shared" ref="C48:H48" si="15">C40-SUM(C41:C47)</f>
        <v>289807</v>
      </c>
      <c r="D48" s="200">
        <f t="shared" si="15"/>
        <v>93792</v>
      </c>
      <c r="E48" s="200">
        <f t="shared" si="15"/>
        <v>149930</v>
      </c>
      <c r="F48" s="200">
        <f t="shared" si="15"/>
        <v>330580</v>
      </c>
      <c r="G48" s="200">
        <f t="shared" si="15"/>
        <v>342594</v>
      </c>
      <c r="H48" s="200">
        <f t="shared" si="15"/>
        <v>366428</v>
      </c>
      <c r="I48" s="201">
        <f t="shared" si="13"/>
        <v>6.9569227715605031E-2</v>
      </c>
      <c r="J48" s="200">
        <f>H48-G48</f>
        <v>23834</v>
      </c>
      <c r="K48" s="201">
        <f t="shared" si="14"/>
        <v>6.6863006999642358E-2</v>
      </c>
    </row>
    <row r="49" spans="2:14" x14ac:dyDescent="0.25">
      <c r="B49" s="186" t="s">
        <v>48</v>
      </c>
      <c r="C49" s="184"/>
      <c r="D49" s="184"/>
      <c r="E49" s="184"/>
      <c r="F49" s="184"/>
      <c r="G49" s="184"/>
      <c r="H49" s="185"/>
      <c r="I49" s="185"/>
      <c r="J49" s="185"/>
      <c r="K49" s="184"/>
      <c r="L49" s="202"/>
      <c r="M49" s="202"/>
      <c r="N49" s="202"/>
    </row>
    <row r="50" spans="2:14" x14ac:dyDescent="0.25">
      <c r="B50" s="187" t="s">
        <v>70</v>
      </c>
      <c r="C50" s="188">
        <v>45076</v>
      </c>
      <c r="D50" s="188">
        <v>12633</v>
      </c>
      <c r="E50" s="188">
        <v>20161</v>
      </c>
      <c r="F50" s="188">
        <v>37751</v>
      </c>
      <c r="G50" s="188">
        <v>51166</v>
      </c>
      <c r="H50" s="188">
        <v>43737</v>
      </c>
      <c r="I50" s="189">
        <f>IFERROR(H50/G50-1,"-")</f>
        <v>-0.14519407418989172</v>
      </c>
      <c r="J50" s="188">
        <f>H50-G50</f>
        <v>-7429</v>
      </c>
      <c r="K50" s="189">
        <f>H50/H$8</f>
        <v>7.9807966016334931E-3</v>
      </c>
      <c r="L50" s="131"/>
      <c r="M50" s="131"/>
      <c r="N50" s="131"/>
    </row>
    <row r="51" spans="2:14" x14ac:dyDescent="0.25">
      <c r="B51" s="190" t="s">
        <v>99</v>
      </c>
      <c r="C51" s="191">
        <v>10509</v>
      </c>
      <c r="D51" s="191">
        <v>2339</v>
      </c>
      <c r="E51" s="191">
        <v>4950</v>
      </c>
      <c r="F51" s="191">
        <v>6762</v>
      </c>
      <c r="G51" s="191">
        <v>20250</v>
      </c>
      <c r="H51" s="191">
        <v>11054</v>
      </c>
      <c r="I51" s="192">
        <f>IFERROR(H51/G51-1,"-")</f>
        <v>-0.45412345679012345</v>
      </c>
      <c r="J51" s="191">
        <f t="shared" ref="J51:J61" si="16">H51-G51</f>
        <v>-9196</v>
      </c>
      <c r="K51" s="192">
        <f>H51/H$8</f>
        <v>2.0170502237111974E-3</v>
      </c>
    </row>
    <row r="52" spans="2:14" x14ac:dyDescent="0.25">
      <c r="B52" s="194" t="s">
        <v>105</v>
      </c>
      <c r="C52" s="195">
        <v>5944</v>
      </c>
      <c r="D52" s="195">
        <v>1658</v>
      </c>
      <c r="E52" s="195">
        <v>2415</v>
      </c>
      <c r="F52" s="195">
        <v>3515</v>
      </c>
      <c r="G52" s="195">
        <v>14811</v>
      </c>
      <c r="H52" s="195">
        <v>7251</v>
      </c>
      <c r="I52" s="196">
        <f>IFERROR(H52/G52-1,"-")</f>
        <v>-0.51043143609479436</v>
      </c>
      <c r="J52" s="195">
        <f t="shared" si="16"/>
        <v>-7560</v>
      </c>
      <c r="K52" s="196">
        <f>H52/H$8</f>
        <v>1.323107578444897E-3</v>
      </c>
    </row>
    <row r="53" spans="2:14" x14ac:dyDescent="0.25">
      <c r="B53" s="194" t="s">
        <v>102</v>
      </c>
      <c r="C53" s="195">
        <v>4565</v>
      </c>
      <c r="D53" s="195">
        <v>681</v>
      </c>
      <c r="E53" s="195">
        <v>2535</v>
      </c>
      <c r="F53" s="195">
        <v>3247</v>
      </c>
      <c r="G53" s="195">
        <v>5439</v>
      </c>
      <c r="H53" s="195">
        <v>3803</v>
      </c>
      <c r="I53" s="196">
        <f>IFERROR(H53/G53-1,"-")</f>
        <v>-0.30079058650487223</v>
      </c>
      <c r="J53" s="195">
        <f t="shared" si="16"/>
        <v>-1636</v>
      </c>
      <c r="K53" s="196">
        <f>H53/H$8</f>
        <v>6.9394264526630026E-4</v>
      </c>
    </row>
    <row r="54" spans="2:14" x14ac:dyDescent="0.25">
      <c r="B54" s="190" t="s">
        <v>109</v>
      </c>
      <c r="C54" s="191">
        <v>34567</v>
      </c>
      <c r="D54" s="191">
        <v>10294</v>
      </c>
      <c r="E54" s="191">
        <v>15211</v>
      </c>
      <c r="F54" s="191">
        <v>30989</v>
      </c>
      <c r="G54" s="191">
        <v>30916</v>
      </c>
      <c r="H54" s="191">
        <v>32683</v>
      </c>
      <c r="I54" s="192">
        <f>IFERROR(H54/G54-1,"-")</f>
        <v>5.7154871264070373E-2</v>
      </c>
      <c r="J54" s="191">
        <f t="shared" si="16"/>
        <v>1767</v>
      </c>
      <c r="K54" s="192">
        <f>H54/H$8</f>
        <v>5.9637463779222957E-3</v>
      </c>
    </row>
    <row r="55" spans="2:14" x14ac:dyDescent="0.25">
      <c r="B55" s="194" t="s">
        <v>112</v>
      </c>
      <c r="C55" s="195">
        <v>10275</v>
      </c>
      <c r="D55" s="195">
        <v>3060</v>
      </c>
      <c r="E55" s="195">
        <v>3030</v>
      </c>
      <c r="F55" s="195">
        <v>10352</v>
      </c>
      <c r="G55" s="195">
        <v>9308</v>
      </c>
      <c r="H55" s="195">
        <v>11037</v>
      </c>
      <c r="I55" s="196">
        <f t="shared" ref="I55:I62" si="17">IFERROR(H55/G55-1,"-")</f>
        <v>0.18575418994413417</v>
      </c>
      <c r="J55" s="195">
        <f t="shared" si="16"/>
        <v>1729</v>
      </c>
      <c r="K55" s="196">
        <f t="shared" ref="K55:K62" si="18">H55/H$8</f>
        <v>2.013948192428124E-3</v>
      </c>
    </row>
    <row r="56" spans="2:14" x14ac:dyDescent="0.25">
      <c r="B56" s="194" t="s">
        <v>115</v>
      </c>
      <c r="C56" s="195">
        <v>9881</v>
      </c>
      <c r="D56" s="195">
        <v>2874</v>
      </c>
      <c r="E56" s="195">
        <v>5150</v>
      </c>
      <c r="F56" s="195">
        <v>6811</v>
      </c>
      <c r="G56" s="195">
        <v>6211</v>
      </c>
      <c r="H56" s="195">
        <v>6595</v>
      </c>
      <c r="I56" s="196">
        <f t="shared" si="17"/>
        <v>6.1825792947995506E-2</v>
      </c>
      <c r="J56" s="195">
        <f t="shared" si="16"/>
        <v>384</v>
      </c>
      <c r="K56" s="196">
        <f t="shared" si="18"/>
        <v>1.2034056654039575E-3</v>
      </c>
    </row>
    <row r="57" spans="2:14" x14ac:dyDescent="0.25">
      <c r="B57" s="194" t="s">
        <v>118</v>
      </c>
      <c r="C57" s="195">
        <v>2186</v>
      </c>
      <c r="D57" s="195">
        <v>544</v>
      </c>
      <c r="E57" s="195">
        <v>1642</v>
      </c>
      <c r="F57" s="195">
        <v>2746</v>
      </c>
      <c r="G57" s="195">
        <v>2942</v>
      </c>
      <c r="H57" s="195">
        <v>2300</v>
      </c>
      <c r="I57" s="196">
        <f t="shared" si="17"/>
        <v>-0.21821889870836164</v>
      </c>
      <c r="J57" s="195">
        <f t="shared" si="16"/>
        <v>-642</v>
      </c>
      <c r="K57" s="196">
        <f t="shared" si="18"/>
        <v>4.1968658535695259E-4</v>
      </c>
    </row>
    <row r="58" spans="2:14" x14ac:dyDescent="0.25">
      <c r="B58" s="194" t="s">
        <v>125</v>
      </c>
      <c r="C58" s="195">
        <v>731</v>
      </c>
      <c r="D58" s="195">
        <v>284</v>
      </c>
      <c r="E58" s="195">
        <v>377</v>
      </c>
      <c r="F58" s="195">
        <v>868</v>
      </c>
      <c r="G58" s="195">
        <v>832</v>
      </c>
      <c r="H58" s="195">
        <v>1093</v>
      </c>
      <c r="I58" s="196">
        <f t="shared" si="17"/>
        <v>0.31370192307692313</v>
      </c>
      <c r="J58" s="195">
        <f t="shared" si="16"/>
        <v>261</v>
      </c>
      <c r="K58" s="196">
        <f t="shared" si="18"/>
        <v>1.994423642587605E-4</v>
      </c>
    </row>
    <row r="59" spans="2:14" x14ac:dyDescent="0.25">
      <c r="B59" s="194" t="s">
        <v>121</v>
      </c>
      <c r="C59" s="195">
        <v>686</v>
      </c>
      <c r="D59" s="195">
        <v>229</v>
      </c>
      <c r="E59" s="195">
        <v>476</v>
      </c>
      <c r="F59" s="195">
        <v>657</v>
      </c>
      <c r="G59" s="195">
        <v>709</v>
      </c>
      <c r="H59" s="195">
        <v>810</v>
      </c>
      <c r="I59" s="196">
        <f t="shared" si="17"/>
        <v>0.14245416078984485</v>
      </c>
      <c r="J59" s="195">
        <f t="shared" si="16"/>
        <v>101</v>
      </c>
      <c r="K59" s="196">
        <f t="shared" si="18"/>
        <v>1.4780266701701372E-4</v>
      </c>
    </row>
    <row r="60" spans="2:14" x14ac:dyDescent="0.25">
      <c r="B60" s="194" t="s">
        <v>130</v>
      </c>
      <c r="C60" s="195">
        <v>281</v>
      </c>
      <c r="D60" s="195">
        <v>136</v>
      </c>
      <c r="E60" s="195">
        <v>98</v>
      </c>
      <c r="F60" s="195">
        <v>136</v>
      </c>
      <c r="G60" s="195">
        <v>243</v>
      </c>
      <c r="H60" s="195">
        <v>141</v>
      </c>
      <c r="I60" s="196">
        <f t="shared" si="17"/>
        <v>-0.41975308641975306</v>
      </c>
      <c r="J60" s="195">
        <f t="shared" si="16"/>
        <v>-102</v>
      </c>
      <c r="K60" s="196">
        <f t="shared" si="18"/>
        <v>2.5728612406665352E-5</v>
      </c>
    </row>
    <row r="61" spans="2:14" x14ac:dyDescent="0.25">
      <c r="B61" s="194" t="s">
        <v>133</v>
      </c>
      <c r="C61" s="195">
        <v>591</v>
      </c>
      <c r="D61" s="195">
        <v>217</v>
      </c>
      <c r="E61" s="195">
        <v>91</v>
      </c>
      <c r="F61" s="195">
        <v>153</v>
      </c>
      <c r="G61" s="195">
        <v>195</v>
      </c>
      <c r="H61" s="195">
        <v>156</v>
      </c>
      <c r="I61" s="196">
        <f t="shared" si="17"/>
        <v>-0.19999999999999996</v>
      </c>
      <c r="J61" s="195">
        <f t="shared" si="16"/>
        <v>-39</v>
      </c>
      <c r="K61" s="196">
        <f t="shared" si="18"/>
        <v>2.8465698832906347E-5</v>
      </c>
    </row>
    <row r="62" spans="2:14" x14ac:dyDescent="0.25">
      <c r="B62" s="199" t="s">
        <v>147</v>
      </c>
      <c r="C62" s="200">
        <f t="shared" ref="C62:H62" si="19">C54-SUM(C55:C61)</f>
        <v>9936</v>
      </c>
      <c r="D62" s="200">
        <f t="shared" si="19"/>
        <v>2950</v>
      </c>
      <c r="E62" s="200">
        <f t="shared" si="19"/>
        <v>4347</v>
      </c>
      <c r="F62" s="200">
        <f t="shared" si="19"/>
        <v>9266</v>
      </c>
      <c r="G62" s="200">
        <f t="shared" si="19"/>
        <v>10476</v>
      </c>
      <c r="H62" s="200">
        <f t="shared" si="19"/>
        <v>10551</v>
      </c>
      <c r="I62" s="201">
        <f t="shared" si="17"/>
        <v>7.1592210767468245E-3</v>
      </c>
      <c r="J62" s="200">
        <f>H62-G62</f>
        <v>75</v>
      </c>
      <c r="K62" s="201">
        <f t="shared" si="18"/>
        <v>1.9252665922179159E-3</v>
      </c>
    </row>
    <row r="63" spans="2:14" x14ac:dyDescent="0.25">
      <c r="B63" s="186" t="s">
        <v>49</v>
      </c>
      <c r="C63" s="184"/>
      <c r="D63" s="184"/>
      <c r="E63" s="184"/>
      <c r="F63" s="184"/>
      <c r="G63" s="184"/>
      <c r="H63" s="185"/>
      <c r="I63" s="185"/>
      <c r="J63" s="185"/>
      <c r="K63" s="184"/>
      <c r="L63" s="202"/>
      <c r="M63" s="202"/>
      <c r="N63" s="202"/>
    </row>
    <row r="64" spans="2:14" x14ac:dyDescent="0.25">
      <c r="B64" s="187" t="s">
        <v>70</v>
      </c>
      <c r="C64" s="188">
        <v>137126</v>
      </c>
      <c r="D64" s="188">
        <v>55313</v>
      </c>
      <c r="E64" s="188">
        <v>70304</v>
      </c>
      <c r="F64" s="188">
        <v>161080</v>
      </c>
      <c r="G64" s="188">
        <v>179837</v>
      </c>
      <c r="H64" s="188">
        <v>231856</v>
      </c>
      <c r="I64" s="189">
        <f>IFERROR(H64/G64-1,"-")</f>
        <v>0.28925638216829674</v>
      </c>
      <c r="J64" s="188">
        <f>H64-G64</f>
        <v>52019</v>
      </c>
      <c r="K64" s="189">
        <f>H64/H$8</f>
        <v>4.2307327362835476E-2</v>
      </c>
      <c r="L64" s="131"/>
      <c r="M64" s="131"/>
      <c r="N64" s="131"/>
    </row>
    <row r="65" spans="2:14" x14ac:dyDescent="0.25">
      <c r="B65" s="190" t="s">
        <v>99</v>
      </c>
      <c r="C65" s="191">
        <v>41904</v>
      </c>
      <c r="D65" s="191">
        <v>24273</v>
      </c>
      <c r="E65" s="191">
        <v>26311</v>
      </c>
      <c r="F65" s="191">
        <v>32375</v>
      </c>
      <c r="G65" s="191">
        <v>47068</v>
      </c>
      <c r="H65" s="191">
        <v>61312</v>
      </c>
      <c r="I65" s="192">
        <f>IFERROR(H65/G65-1,"-")</f>
        <v>0.30262598793235318</v>
      </c>
      <c r="J65" s="191">
        <f t="shared" ref="J65:J75" si="20">H65-G65</f>
        <v>14244</v>
      </c>
      <c r="K65" s="192">
        <f>H65/H$8</f>
        <v>1.1187749531045859E-2</v>
      </c>
    </row>
    <row r="66" spans="2:14" x14ac:dyDescent="0.25">
      <c r="B66" s="194" t="s">
        <v>105</v>
      </c>
      <c r="C66" s="195">
        <v>22752</v>
      </c>
      <c r="D66" s="195">
        <v>8930</v>
      </c>
      <c r="E66" s="195">
        <v>21567</v>
      </c>
      <c r="F66" s="195">
        <v>23338</v>
      </c>
      <c r="G66" s="195">
        <v>31999</v>
      </c>
      <c r="H66" s="195">
        <v>37562</v>
      </c>
      <c r="I66" s="196">
        <f>IFERROR(H66/G66-1,"-")</f>
        <v>0.17384918278696215</v>
      </c>
      <c r="J66" s="195">
        <f t="shared" si="20"/>
        <v>5563</v>
      </c>
      <c r="K66" s="196">
        <f>H66/H$8</f>
        <v>6.8540293561642832E-3</v>
      </c>
    </row>
    <row r="67" spans="2:14" x14ac:dyDescent="0.25">
      <c r="B67" s="194" t="s">
        <v>102</v>
      </c>
      <c r="C67" s="195">
        <v>19152</v>
      </c>
      <c r="D67" s="195">
        <v>15343</v>
      </c>
      <c r="E67" s="195">
        <v>4744</v>
      </c>
      <c r="F67" s="195">
        <v>9037</v>
      </c>
      <c r="G67" s="195">
        <v>15069</v>
      </c>
      <c r="H67" s="195">
        <v>23750</v>
      </c>
      <c r="I67" s="196">
        <f>IFERROR(H67/G67-1,"-")</f>
        <v>0.57608334992368437</v>
      </c>
      <c r="J67" s="195">
        <f t="shared" si="20"/>
        <v>8681</v>
      </c>
      <c r="K67" s="196">
        <f>H67/H$8</f>
        <v>4.3337201748815755E-3</v>
      </c>
    </row>
    <row r="68" spans="2:14" x14ac:dyDescent="0.25">
      <c r="B68" s="190" t="s">
        <v>109</v>
      </c>
      <c r="C68" s="191">
        <v>95222</v>
      </c>
      <c r="D68" s="191">
        <v>31040</v>
      </c>
      <c r="E68" s="191">
        <v>43993</v>
      </c>
      <c r="F68" s="191">
        <v>128705</v>
      </c>
      <c r="G68" s="191">
        <v>132769</v>
      </c>
      <c r="H68" s="191">
        <v>170544</v>
      </c>
      <c r="I68" s="192">
        <f>IFERROR(H68/G68-1,"-")</f>
        <v>0.28451671700472247</v>
      </c>
      <c r="J68" s="191">
        <f t="shared" si="20"/>
        <v>37775</v>
      </c>
      <c r="K68" s="192">
        <f>H68/H$8</f>
        <v>3.1119577831789615E-2</v>
      </c>
    </row>
    <row r="69" spans="2:14" x14ac:dyDescent="0.25">
      <c r="B69" s="194" t="s">
        <v>112</v>
      </c>
      <c r="C69" s="195">
        <v>41026</v>
      </c>
      <c r="D69" s="195">
        <v>13899</v>
      </c>
      <c r="E69" s="195">
        <v>12264</v>
      </c>
      <c r="F69" s="195">
        <v>56081</v>
      </c>
      <c r="G69" s="195">
        <v>50457</v>
      </c>
      <c r="H69" s="195">
        <v>73242</v>
      </c>
      <c r="I69" s="196">
        <f t="shared" ref="I69:I76" si="21">IFERROR(H69/G69-1,"-")</f>
        <v>0.45157262619656335</v>
      </c>
      <c r="J69" s="195">
        <f t="shared" si="20"/>
        <v>22785</v>
      </c>
      <c r="K69" s="196">
        <f t="shared" ref="K69:K76" si="22">H69/H$8</f>
        <v>1.336464560204953E-2</v>
      </c>
    </row>
    <row r="70" spans="2:14" x14ac:dyDescent="0.25">
      <c r="B70" s="194" t="s">
        <v>115</v>
      </c>
      <c r="C70" s="195">
        <v>11534</v>
      </c>
      <c r="D70" s="195">
        <v>3374</v>
      </c>
      <c r="E70" s="195">
        <v>3586</v>
      </c>
      <c r="F70" s="195">
        <v>7748</v>
      </c>
      <c r="G70" s="195">
        <v>10955</v>
      </c>
      <c r="H70" s="195">
        <v>10731</v>
      </c>
      <c r="I70" s="196">
        <f t="shared" si="21"/>
        <v>-2.0447284345047945E-2</v>
      </c>
      <c r="J70" s="195">
        <f t="shared" si="20"/>
        <v>-224</v>
      </c>
      <c r="K70" s="196">
        <f t="shared" si="22"/>
        <v>1.9581116293328079E-3</v>
      </c>
    </row>
    <row r="71" spans="2:14" x14ac:dyDescent="0.25">
      <c r="B71" s="194" t="s">
        <v>118</v>
      </c>
      <c r="C71" s="195">
        <v>10880</v>
      </c>
      <c r="D71" s="195">
        <v>3449</v>
      </c>
      <c r="E71" s="195">
        <v>6294</v>
      </c>
      <c r="F71" s="195">
        <v>18047</v>
      </c>
      <c r="G71" s="195">
        <v>15837</v>
      </c>
      <c r="H71" s="195">
        <v>19123</v>
      </c>
      <c r="I71" s="196">
        <f t="shared" si="21"/>
        <v>0.20748879206920501</v>
      </c>
      <c r="J71" s="195">
        <f t="shared" si="20"/>
        <v>3286</v>
      </c>
      <c r="K71" s="196">
        <f t="shared" si="22"/>
        <v>3.4894202486004363E-3</v>
      </c>
    </row>
    <row r="72" spans="2:14" x14ac:dyDescent="0.25">
      <c r="B72" s="194" t="s">
        <v>125</v>
      </c>
      <c r="C72" s="195">
        <v>1784</v>
      </c>
      <c r="D72" s="195">
        <v>536</v>
      </c>
      <c r="E72" s="195">
        <v>3888</v>
      </c>
      <c r="F72" s="195">
        <v>3396</v>
      </c>
      <c r="G72" s="195">
        <v>3947</v>
      </c>
      <c r="H72" s="195">
        <v>6454</v>
      </c>
      <c r="I72" s="196">
        <f t="shared" si="21"/>
        <v>0.63516594882189015</v>
      </c>
      <c r="J72" s="195">
        <f t="shared" si="20"/>
        <v>2507</v>
      </c>
      <c r="K72" s="196">
        <f t="shared" si="22"/>
        <v>1.1776770529972921E-3</v>
      </c>
    </row>
    <row r="73" spans="2:14" x14ac:dyDescent="0.25">
      <c r="B73" s="194" t="s">
        <v>121</v>
      </c>
      <c r="C73" s="195">
        <v>2469</v>
      </c>
      <c r="D73" s="195">
        <v>1278</v>
      </c>
      <c r="E73" s="195">
        <v>1635</v>
      </c>
      <c r="F73" s="195">
        <v>3248</v>
      </c>
      <c r="G73" s="195">
        <v>2699</v>
      </c>
      <c r="H73" s="195">
        <v>4219</v>
      </c>
      <c r="I73" s="196">
        <f t="shared" si="21"/>
        <v>0.56317154501667277</v>
      </c>
      <c r="J73" s="195">
        <f t="shared" si="20"/>
        <v>1520</v>
      </c>
      <c r="K73" s="196">
        <f t="shared" si="22"/>
        <v>7.6985117548738385E-4</v>
      </c>
    </row>
    <row r="74" spans="2:14" x14ac:dyDescent="0.25">
      <c r="B74" s="194" t="s">
        <v>130</v>
      </c>
      <c r="C74" s="195">
        <v>2202</v>
      </c>
      <c r="D74" s="195">
        <v>686</v>
      </c>
      <c r="E74" s="195">
        <v>1848</v>
      </c>
      <c r="F74" s="195">
        <v>2875</v>
      </c>
      <c r="G74" s="195">
        <v>3786</v>
      </c>
      <c r="H74" s="195">
        <v>3186</v>
      </c>
      <c r="I74" s="196">
        <f t="shared" si="21"/>
        <v>-0.15847860538827263</v>
      </c>
      <c r="J74" s="195">
        <f t="shared" si="20"/>
        <v>-600</v>
      </c>
      <c r="K74" s="196">
        <f t="shared" si="22"/>
        <v>5.8135715693358734E-4</v>
      </c>
    </row>
    <row r="75" spans="2:14" x14ac:dyDescent="0.25">
      <c r="B75" s="194" t="s">
        <v>133</v>
      </c>
      <c r="C75" s="195">
        <v>2302</v>
      </c>
      <c r="D75" s="195">
        <v>932</v>
      </c>
      <c r="E75" s="195">
        <v>363</v>
      </c>
      <c r="F75" s="195">
        <v>967</v>
      </c>
      <c r="G75" s="195">
        <v>1128</v>
      </c>
      <c r="H75" s="195">
        <v>3135</v>
      </c>
      <c r="I75" s="196">
        <f t="shared" si="21"/>
        <v>1.7792553191489362</v>
      </c>
      <c r="J75" s="195">
        <f t="shared" si="20"/>
        <v>2007</v>
      </c>
      <c r="K75" s="196">
        <f t="shared" si="22"/>
        <v>5.7205106308436799E-4</v>
      </c>
    </row>
    <row r="76" spans="2:14" x14ac:dyDescent="0.25">
      <c r="B76" s="199" t="s">
        <v>147</v>
      </c>
      <c r="C76" s="200">
        <f t="shared" ref="C76:H76" si="23">C68-SUM(C69:C75)</f>
        <v>23025</v>
      </c>
      <c r="D76" s="200">
        <f t="shared" si="23"/>
        <v>6886</v>
      </c>
      <c r="E76" s="200">
        <f t="shared" si="23"/>
        <v>14115</v>
      </c>
      <c r="F76" s="200">
        <f t="shared" si="23"/>
        <v>36343</v>
      </c>
      <c r="G76" s="200">
        <f t="shared" si="23"/>
        <v>43960</v>
      </c>
      <c r="H76" s="200">
        <f t="shared" si="23"/>
        <v>50454</v>
      </c>
      <c r="I76" s="201">
        <f t="shared" si="21"/>
        <v>0.14772520473157424</v>
      </c>
      <c r="J76" s="200">
        <f>H76-G76</f>
        <v>6494</v>
      </c>
      <c r="K76" s="201">
        <f t="shared" si="22"/>
        <v>9.2064639033042107E-3</v>
      </c>
    </row>
    <row r="77" spans="2:14" x14ac:dyDescent="0.25">
      <c r="B77" s="186" t="s">
        <v>50</v>
      </c>
      <c r="C77" s="184"/>
      <c r="D77" s="184"/>
      <c r="E77" s="184"/>
      <c r="F77" s="184"/>
      <c r="G77" s="184"/>
      <c r="H77" s="185"/>
      <c r="I77" s="185"/>
      <c r="J77" s="185"/>
      <c r="K77" s="184"/>
      <c r="L77" s="202"/>
      <c r="M77" s="202"/>
      <c r="N77" s="202"/>
    </row>
    <row r="78" spans="2:14" x14ac:dyDescent="0.25">
      <c r="B78" s="187" t="s">
        <v>70</v>
      </c>
      <c r="C78" s="188">
        <v>791721</v>
      </c>
      <c r="D78" s="188">
        <v>225835</v>
      </c>
      <c r="E78" s="188">
        <v>354204</v>
      </c>
      <c r="F78" s="188">
        <v>710225</v>
      </c>
      <c r="G78" s="188">
        <v>797848</v>
      </c>
      <c r="H78" s="188">
        <v>914356</v>
      </c>
      <c r="I78" s="189">
        <f>IFERROR(H78/G78-1,"-")</f>
        <v>0.14602781482187077</v>
      </c>
      <c r="J78" s="188">
        <f>H78-G78</f>
        <v>116508</v>
      </c>
      <c r="K78" s="189">
        <f>H78/H$8</f>
        <v>0.16684475975680074</v>
      </c>
      <c r="L78" s="131"/>
      <c r="M78" s="131"/>
      <c r="N78" s="131"/>
    </row>
    <row r="79" spans="2:14" x14ac:dyDescent="0.25">
      <c r="B79" s="190" t="s">
        <v>99</v>
      </c>
      <c r="C79" s="191">
        <v>356283</v>
      </c>
      <c r="D79" s="191">
        <v>103133</v>
      </c>
      <c r="E79" s="191">
        <v>181693</v>
      </c>
      <c r="F79" s="191">
        <v>342343</v>
      </c>
      <c r="G79" s="191">
        <v>341923</v>
      </c>
      <c r="H79" s="191">
        <v>382237</v>
      </c>
      <c r="I79" s="192">
        <f>IFERROR(H79/G79-1,"-")</f>
        <v>0.1179037385610211</v>
      </c>
      <c r="J79" s="191">
        <f t="shared" ref="J79:J89" si="24">H79-G79</f>
        <v>40314</v>
      </c>
      <c r="K79" s="192">
        <f>H79/H$8</f>
        <v>6.9747713620471941E-2</v>
      </c>
    </row>
    <row r="80" spans="2:14" x14ac:dyDescent="0.25">
      <c r="B80" s="194" t="s">
        <v>105</v>
      </c>
      <c r="C80" s="195">
        <v>72064</v>
      </c>
      <c r="D80" s="195">
        <v>28320</v>
      </c>
      <c r="E80" s="195">
        <v>66989</v>
      </c>
      <c r="F80" s="195">
        <v>97391</v>
      </c>
      <c r="G80" s="195">
        <v>92103</v>
      </c>
      <c r="H80" s="195">
        <v>106284</v>
      </c>
      <c r="I80" s="196">
        <f>IFERROR(H80/G80-1,"-")</f>
        <v>0.15396892609361257</v>
      </c>
      <c r="J80" s="195">
        <f t="shared" si="24"/>
        <v>14181</v>
      </c>
      <c r="K80" s="196">
        <f>H80/H$8</f>
        <v>1.9393899581773195E-2</v>
      </c>
    </row>
    <row r="81" spans="2:14" x14ac:dyDescent="0.25">
      <c r="B81" s="194" t="s">
        <v>102</v>
      </c>
      <c r="C81" s="195">
        <v>284219</v>
      </c>
      <c r="D81" s="195">
        <v>74813</v>
      </c>
      <c r="E81" s="195">
        <v>114704</v>
      </c>
      <c r="F81" s="195">
        <v>244952</v>
      </c>
      <c r="G81" s="195">
        <v>249820</v>
      </c>
      <c r="H81" s="195">
        <v>275953</v>
      </c>
      <c r="I81" s="196">
        <f>IFERROR(H81/G81-1,"-")</f>
        <v>0.1046073172684332</v>
      </c>
      <c r="J81" s="195">
        <f t="shared" si="24"/>
        <v>26133</v>
      </c>
      <c r="K81" s="196">
        <f>H81/H$8</f>
        <v>5.0353814038698749E-2</v>
      </c>
    </row>
    <row r="82" spans="2:14" x14ac:dyDescent="0.25">
      <c r="B82" s="190" t="s">
        <v>109</v>
      </c>
      <c r="C82" s="191">
        <v>435438</v>
      </c>
      <c r="D82" s="191">
        <v>122702</v>
      </c>
      <c r="E82" s="191">
        <v>172511</v>
      </c>
      <c r="F82" s="191">
        <v>367882</v>
      </c>
      <c r="G82" s="191">
        <v>455925</v>
      </c>
      <c r="H82" s="191">
        <v>532119</v>
      </c>
      <c r="I82" s="192">
        <f>IFERROR(H82/G82-1,"-")</f>
        <v>0.16711959203816407</v>
      </c>
      <c r="J82" s="191">
        <f t="shared" si="24"/>
        <v>76194</v>
      </c>
      <c r="K82" s="192">
        <f>H82/H$8</f>
        <v>9.7097046136328802E-2</v>
      </c>
    </row>
    <row r="83" spans="2:14" x14ac:dyDescent="0.25">
      <c r="B83" s="194" t="s">
        <v>112</v>
      </c>
      <c r="C83" s="195">
        <v>75049</v>
      </c>
      <c r="D83" s="195">
        <v>21332</v>
      </c>
      <c r="E83" s="195">
        <v>16695</v>
      </c>
      <c r="F83" s="195">
        <v>71554</v>
      </c>
      <c r="G83" s="195">
        <v>93860</v>
      </c>
      <c r="H83" s="195">
        <v>110313</v>
      </c>
      <c r="I83" s="196">
        <f t="shared" ref="I83:I90" si="25">IFERROR(H83/G83-1,"-")</f>
        <v>0.17529298955891748</v>
      </c>
      <c r="J83" s="195">
        <f t="shared" si="24"/>
        <v>16453</v>
      </c>
      <c r="K83" s="196">
        <f t="shared" ref="K83:K90" si="26">H83/H$8</f>
        <v>2.0129080995861526E-2</v>
      </c>
    </row>
    <row r="84" spans="2:14" x14ac:dyDescent="0.25">
      <c r="B84" s="194" t="s">
        <v>115</v>
      </c>
      <c r="C84" s="195">
        <v>159354</v>
      </c>
      <c r="D84" s="195">
        <v>39522</v>
      </c>
      <c r="E84" s="195">
        <v>53227</v>
      </c>
      <c r="F84" s="195">
        <v>113120</v>
      </c>
      <c r="G84" s="195">
        <v>127349</v>
      </c>
      <c r="H84" s="195">
        <v>141364</v>
      </c>
      <c r="I84" s="196">
        <f t="shared" si="25"/>
        <v>0.11005190460859526</v>
      </c>
      <c r="J84" s="195">
        <f t="shared" si="24"/>
        <v>14015</v>
      </c>
      <c r="K84" s="196">
        <f t="shared" si="26"/>
        <v>2.57950323706088E-2</v>
      </c>
    </row>
    <row r="85" spans="2:14" x14ac:dyDescent="0.25">
      <c r="B85" s="194" t="s">
        <v>118</v>
      </c>
      <c r="C85" s="195">
        <v>25447</v>
      </c>
      <c r="D85" s="195">
        <v>8286</v>
      </c>
      <c r="E85" s="195">
        <v>19927</v>
      </c>
      <c r="F85" s="195">
        <v>30758</v>
      </c>
      <c r="G85" s="195">
        <v>42539</v>
      </c>
      <c r="H85" s="195">
        <v>57925</v>
      </c>
      <c r="I85" s="196">
        <f t="shared" si="25"/>
        <v>0.36169162415665634</v>
      </c>
      <c r="J85" s="195">
        <f t="shared" si="24"/>
        <v>15386</v>
      </c>
      <c r="K85" s="196">
        <f t="shared" si="26"/>
        <v>1.0569715416000642E-2</v>
      </c>
    </row>
    <row r="86" spans="2:14" x14ac:dyDescent="0.25">
      <c r="B86" s="194" t="s">
        <v>125</v>
      </c>
      <c r="C86" s="195">
        <v>9296</v>
      </c>
      <c r="D86" s="195">
        <v>2074</v>
      </c>
      <c r="E86" s="195">
        <v>5996</v>
      </c>
      <c r="F86" s="195">
        <v>10713</v>
      </c>
      <c r="G86" s="195">
        <v>12911</v>
      </c>
      <c r="H86" s="195">
        <v>18498</v>
      </c>
      <c r="I86" s="196">
        <f t="shared" si="25"/>
        <v>0.43273177910309046</v>
      </c>
      <c r="J86" s="195">
        <f t="shared" si="24"/>
        <v>5587</v>
      </c>
      <c r="K86" s="196">
        <f t="shared" si="26"/>
        <v>3.375374980840395E-3</v>
      </c>
    </row>
    <row r="87" spans="2:14" x14ac:dyDescent="0.25">
      <c r="B87" s="194" t="s">
        <v>121</v>
      </c>
      <c r="C87" s="195">
        <v>6249</v>
      </c>
      <c r="D87" s="195">
        <v>2082</v>
      </c>
      <c r="E87" s="195">
        <v>5201</v>
      </c>
      <c r="F87" s="195">
        <v>5872</v>
      </c>
      <c r="G87" s="195">
        <v>6968</v>
      </c>
      <c r="H87" s="195">
        <v>8896</v>
      </c>
      <c r="I87" s="196">
        <f t="shared" si="25"/>
        <v>0.27669345579793347</v>
      </c>
      <c r="J87" s="195">
        <f t="shared" si="24"/>
        <v>1928</v>
      </c>
      <c r="K87" s="196">
        <f t="shared" si="26"/>
        <v>1.623274723189326E-3</v>
      </c>
    </row>
    <row r="88" spans="2:14" x14ac:dyDescent="0.25">
      <c r="B88" s="194" t="s">
        <v>130</v>
      </c>
      <c r="C88" s="195">
        <v>8520</v>
      </c>
      <c r="D88" s="195">
        <v>3046</v>
      </c>
      <c r="E88" s="195">
        <v>2575</v>
      </c>
      <c r="F88" s="195">
        <v>7581</v>
      </c>
      <c r="G88" s="195">
        <v>8524</v>
      </c>
      <c r="H88" s="195">
        <v>7383</v>
      </c>
      <c r="I88" s="196">
        <f t="shared" si="25"/>
        <v>-0.13385734396996718</v>
      </c>
      <c r="J88" s="195">
        <f t="shared" si="24"/>
        <v>-1141</v>
      </c>
      <c r="K88" s="196">
        <f t="shared" si="26"/>
        <v>1.3471939389958177E-3</v>
      </c>
    </row>
    <row r="89" spans="2:14" x14ac:dyDescent="0.25">
      <c r="B89" s="194" t="s">
        <v>133</v>
      </c>
      <c r="C89" s="195">
        <v>13181</v>
      </c>
      <c r="D89" s="195">
        <v>4839</v>
      </c>
      <c r="E89" s="195">
        <v>2819</v>
      </c>
      <c r="F89" s="195">
        <v>7599</v>
      </c>
      <c r="G89" s="195">
        <v>9961</v>
      </c>
      <c r="H89" s="195">
        <v>9541</v>
      </c>
      <c r="I89" s="196">
        <f t="shared" si="25"/>
        <v>-4.216444132115249E-2</v>
      </c>
      <c r="J89" s="195">
        <f t="shared" si="24"/>
        <v>-420</v>
      </c>
      <c r="K89" s="196">
        <f t="shared" si="26"/>
        <v>1.7409694395176889E-3</v>
      </c>
    </row>
    <row r="90" spans="2:14" x14ac:dyDescent="0.25">
      <c r="B90" s="199" t="s">
        <v>147</v>
      </c>
      <c r="C90" s="200">
        <f t="shared" ref="C90:H90" si="27">C82-SUM(C83:C89)</f>
        <v>138342</v>
      </c>
      <c r="D90" s="200">
        <f t="shared" si="27"/>
        <v>41521</v>
      </c>
      <c r="E90" s="200">
        <f t="shared" si="27"/>
        <v>66071</v>
      </c>
      <c r="F90" s="200">
        <f t="shared" si="27"/>
        <v>120685</v>
      </c>
      <c r="G90" s="200">
        <f t="shared" si="27"/>
        <v>153813</v>
      </c>
      <c r="H90" s="200">
        <f t="shared" si="27"/>
        <v>178199</v>
      </c>
      <c r="I90" s="201">
        <f t="shared" si="25"/>
        <v>0.15854316605228425</v>
      </c>
      <c r="J90" s="200">
        <f>H90-G90</f>
        <v>24386</v>
      </c>
      <c r="K90" s="201">
        <f t="shared" si="26"/>
        <v>3.2516404271314601E-2</v>
      </c>
    </row>
    <row r="91" spans="2:14" x14ac:dyDescent="0.25">
      <c r="B91" s="186" t="s">
        <v>51</v>
      </c>
      <c r="C91" s="184"/>
      <c r="D91" s="184"/>
      <c r="E91" s="184"/>
      <c r="F91" s="184"/>
      <c r="G91" s="184"/>
      <c r="H91" s="185"/>
      <c r="I91" s="185"/>
      <c r="J91" s="185"/>
      <c r="K91" s="184"/>
      <c r="L91" s="202"/>
      <c r="M91" s="202"/>
      <c r="N91" s="202"/>
    </row>
    <row r="92" spans="2:14" x14ac:dyDescent="0.25">
      <c r="B92" s="187" t="s">
        <v>70</v>
      </c>
      <c r="C92" s="188">
        <v>55887</v>
      </c>
      <c r="D92" s="188">
        <v>24221</v>
      </c>
      <c r="E92" s="188">
        <v>33444</v>
      </c>
      <c r="F92" s="188">
        <v>51485</v>
      </c>
      <c r="G92" s="188">
        <v>58157</v>
      </c>
      <c r="H92" s="188">
        <v>57388</v>
      </c>
      <c r="I92" s="189">
        <f>IFERROR(H92/G92-1,"-")</f>
        <v>-1.3222827862510056E-2</v>
      </c>
      <c r="J92" s="188">
        <f>H92-G92</f>
        <v>-769</v>
      </c>
      <c r="K92" s="189">
        <f>H92/H$8</f>
        <v>1.0471727721941215E-2</v>
      </c>
      <c r="L92" s="131"/>
      <c r="M92" s="131"/>
      <c r="N92" s="131"/>
    </row>
    <row r="93" spans="2:14" x14ac:dyDescent="0.25">
      <c r="B93" s="190" t="s">
        <v>99</v>
      </c>
      <c r="C93" s="191">
        <v>37119</v>
      </c>
      <c r="D93" s="191">
        <v>16023</v>
      </c>
      <c r="E93" s="191">
        <v>21732</v>
      </c>
      <c r="F93" s="191">
        <v>33809</v>
      </c>
      <c r="G93" s="191">
        <v>37722</v>
      </c>
      <c r="H93" s="191">
        <v>35821</v>
      </c>
      <c r="I93" s="192">
        <f>IFERROR(H93/G93-1,"-")</f>
        <v>-5.0394994963151474E-2</v>
      </c>
      <c r="J93" s="191">
        <f t="shared" ref="J93:J103" si="28">H93-G93</f>
        <v>-1901</v>
      </c>
      <c r="K93" s="192">
        <f>H93/H$8</f>
        <v>6.5363448582919119E-3</v>
      </c>
    </row>
    <row r="94" spans="2:14" x14ac:dyDescent="0.25">
      <c r="B94" s="194" t="s">
        <v>105</v>
      </c>
      <c r="C94" s="195">
        <v>19153</v>
      </c>
      <c r="D94" s="195">
        <v>8684</v>
      </c>
      <c r="E94" s="195">
        <v>11001</v>
      </c>
      <c r="F94" s="195">
        <v>16289</v>
      </c>
      <c r="G94" s="195">
        <v>12024</v>
      </c>
      <c r="H94" s="195">
        <v>11877</v>
      </c>
      <c r="I94" s="196">
        <f>IFERROR(H94/G94-1,"-")</f>
        <v>-1.2225548902195627E-2</v>
      </c>
      <c r="J94" s="195">
        <f t="shared" si="28"/>
        <v>-147</v>
      </c>
      <c r="K94" s="196">
        <f>H94/H$8</f>
        <v>2.1672250322976199E-3</v>
      </c>
    </row>
    <row r="95" spans="2:14" x14ac:dyDescent="0.25">
      <c r="B95" s="194" t="s">
        <v>102</v>
      </c>
      <c r="C95" s="195">
        <v>17966</v>
      </c>
      <c r="D95" s="195">
        <v>7339</v>
      </c>
      <c r="E95" s="195">
        <v>10731</v>
      </c>
      <c r="F95" s="195">
        <v>17520</v>
      </c>
      <c r="G95" s="195">
        <v>25698</v>
      </c>
      <c r="H95" s="195">
        <v>23944</v>
      </c>
      <c r="I95" s="196">
        <f>IFERROR(H95/G95-1,"-")</f>
        <v>-6.8254338859055186E-2</v>
      </c>
      <c r="J95" s="195">
        <f t="shared" si="28"/>
        <v>-1754</v>
      </c>
      <c r="K95" s="196">
        <f>H95/H$8</f>
        <v>4.3691198259942924E-3</v>
      </c>
    </row>
    <row r="96" spans="2:14" x14ac:dyDescent="0.25">
      <c r="B96" s="190" t="s">
        <v>109</v>
      </c>
      <c r="C96" s="191">
        <v>18768</v>
      </c>
      <c r="D96" s="191">
        <v>8198</v>
      </c>
      <c r="E96" s="191">
        <v>11712</v>
      </c>
      <c r="F96" s="191">
        <v>17676</v>
      </c>
      <c r="G96" s="191">
        <v>20435</v>
      </c>
      <c r="H96" s="191">
        <v>21567</v>
      </c>
      <c r="I96" s="192">
        <f>IFERROR(H96/G96-1,"-")</f>
        <v>5.539515537068751E-2</v>
      </c>
      <c r="J96" s="191">
        <f t="shared" si="28"/>
        <v>1132</v>
      </c>
      <c r="K96" s="192">
        <f>H96/H$8</f>
        <v>3.9353828636493025E-3</v>
      </c>
    </row>
    <row r="97" spans="2:14" x14ac:dyDescent="0.25">
      <c r="B97" s="194" t="s">
        <v>112</v>
      </c>
      <c r="C97" s="195">
        <v>2421</v>
      </c>
      <c r="D97" s="195">
        <v>1288</v>
      </c>
      <c r="E97" s="195">
        <v>921</v>
      </c>
      <c r="F97" s="195">
        <v>2403</v>
      </c>
      <c r="G97" s="195">
        <v>2795</v>
      </c>
      <c r="H97" s="195">
        <v>3030</v>
      </c>
      <c r="I97" s="196">
        <f t="shared" ref="I97:I104" si="29">IFERROR(H97/G97-1,"-")</f>
        <v>8.4078711985688726E-2</v>
      </c>
      <c r="J97" s="195">
        <f t="shared" si="28"/>
        <v>235</v>
      </c>
      <c r="K97" s="196">
        <f t="shared" ref="K97:K104" si="30">H97/H$8</f>
        <v>5.5289145810068099E-4</v>
      </c>
    </row>
    <row r="98" spans="2:14" x14ac:dyDescent="0.25">
      <c r="B98" s="194" t="s">
        <v>115</v>
      </c>
      <c r="C98" s="195">
        <v>3905</v>
      </c>
      <c r="D98" s="195">
        <v>1481</v>
      </c>
      <c r="E98" s="195">
        <v>2395</v>
      </c>
      <c r="F98" s="195">
        <v>3482</v>
      </c>
      <c r="G98" s="195">
        <v>3814</v>
      </c>
      <c r="H98" s="195">
        <v>4234</v>
      </c>
      <c r="I98" s="196">
        <f t="shared" si="29"/>
        <v>0.11012060828526482</v>
      </c>
      <c r="J98" s="195">
        <f t="shared" si="28"/>
        <v>420</v>
      </c>
      <c r="K98" s="196">
        <f t="shared" si="30"/>
        <v>7.7258826191362485E-4</v>
      </c>
    </row>
    <row r="99" spans="2:14" x14ac:dyDescent="0.25">
      <c r="B99" s="194" t="s">
        <v>118</v>
      </c>
      <c r="C99" s="195">
        <v>3854</v>
      </c>
      <c r="D99" s="195">
        <v>1974</v>
      </c>
      <c r="E99" s="195">
        <v>3541</v>
      </c>
      <c r="F99" s="195">
        <v>3412</v>
      </c>
      <c r="G99" s="195">
        <v>3885</v>
      </c>
      <c r="H99" s="195">
        <v>3685</v>
      </c>
      <c r="I99" s="196">
        <f t="shared" si="29"/>
        <v>-5.1480051480051525E-2</v>
      </c>
      <c r="J99" s="195">
        <f t="shared" si="28"/>
        <v>-200</v>
      </c>
      <c r="K99" s="196">
        <f t="shared" si="30"/>
        <v>6.7241089871320446E-4</v>
      </c>
    </row>
    <row r="100" spans="2:14" x14ac:dyDescent="0.25">
      <c r="B100" s="194" t="s">
        <v>125</v>
      </c>
      <c r="C100" s="195">
        <v>699</v>
      </c>
      <c r="D100" s="195">
        <v>323</v>
      </c>
      <c r="E100" s="195">
        <v>432</v>
      </c>
      <c r="F100" s="195">
        <v>1172</v>
      </c>
      <c r="G100" s="195">
        <v>938</v>
      </c>
      <c r="H100" s="195">
        <v>933</v>
      </c>
      <c r="I100" s="196">
        <f t="shared" si="29"/>
        <v>-5.3304904051172386E-3</v>
      </c>
      <c r="J100" s="195">
        <f t="shared" si="28"/>
        <v>-5</v>
      </c>
      <c r="K100" s="196">
        <f t="shared" si="30"/>
        <v>1.7024677571218989E-4</v>
      </c>
    </row>
    <row r="101" spans="2:14" x14ac:dyDescent="0.25">
      <c r="B101" s="194" t="s">
        <v>121</v>
      </c>
      <c r="C101" s="195">
        <v>519</v>
      </c>
      <c r="D101" s="195">
        <v>351</v>
      </c>
      <c r="E101" s="195">
        <v>507</v>
      </c>
      <c r="F101" s="195">
        <v>682</v>
      </c>
      <c r="G101" s="195">
        <v>650</v>
      </c>
      <c r="H101" s="195">
        <v>903</v>
      </c>
      <c r="I101" s="196">
        <f t="shared" si="29"/>
        <v>0.38923076923076927</v>
      </c>
      <c r="J101" s="195">
        <f t="shared" si="28"/>
        <v>253</v>
      </c>
      <c r="K101" s="196">
        <f t="shared" si="30"/>
        <v>1.6477260285970789E-4</v>
      </c>
    </row>
    <row r="102" spans="2:14" x14ac:dyDescent="0.25">
      <c r="B102" s="194" t="s">
        <v>130</v>
      </c>
      <c r="C102" s="195">
        <v>155</v>
      </c>
      <c r="D102" s="195">
        <v>124</v>
      </c>
      <c r="E102" s="195">
        <v>105</v>
      </c>
      <c r="F102" s="195">
        <v>270</v>
      </c>
      <c r="G102" s="195">
        <v>153</v>
      </c>
      <c r="H102" s="195">
        <v>230</v>
      </c>
      <c r="I102" s="196">
        <f t="shared" si="29"/>
        <v>0.50326797385620914</v>
      </c>
      <c r="J102" s="195">
        <f t="shared" si="28"/>
        <v>77</v>
      </c>
      <c r="K102" s="196">
        <f t="shared" si="30"/>
        <v>4.1968658535695256E-5</v>
      </c>
    </row>
    <row r="103" spans="2:14" x14ac:dyDescent="0.25">
      <c r="B103" s="194" t="s">
        <v>133</v>
      </c>
      <c r="C103" s="195">
        <v>271</v>
      </c>
      <c r="D103" s="195">
        <v>89</v>
      </c>
      <c r="E103" s="195">
        <v>96</v>
      </c>
      <c r="F103" s="195">
        <v>168</v>
      </c>
      <c r="G103" s="195">
        <v>270</v>
      </c>
      <c r="H103" s="195">
        <v>384</v>
      </c>
      <c r="I103" s="196">
        <f t="shared" si="29"/>
        <v>0.42222222222222228</v>
      </c>
      <c r="J103" s="195">
        <f t="shared" si="28"/>
        <v>114</v>
      </c>
      <c r="K103" s="196">
        <f t="shared" si="30"/>
        <v>7.0069412511769477E-5</v>
      </c>
    </row>
    <row r="104" spans="2:14" x14ac:dyDescent="0.25">
      <c r="B104" s="199" t="s">
        <v>147</v>
      </c>
      <c r="C104" s="200">
        <f t="shared" ref="C104:H104" si="31">C96-SUM(C97:C103)</f>
        <v>6944</v>
      </c>
      <c r="D104" s="200">
        <f t="shared" si="31"/>
        <v>2568</v>
      </c>
      <c r="E104" s="200">
        <f t="shared" si="31"/>
        <v>3715</v>
      </c>
      <c r="F104" s="200">
        <f t="shared" si="31"/>
        <v>6087</v>
      </c>
      <c r="G104" s="200">
        <f t="shared" si="31"/>
        <v>7930</v>
      </c>
      <c r="H104" s="200">
        <f t="shared" si="31"/>
        <v>8168</v>
      </c>
      <c r="I104" s="201">
        <f t="shared" si="29"/>
        <v>3.0012610340479196E-2</v>
      </c>
      <c r="J104" s="200">
        <f>H104-G104</f>
        <v>238</v>
      </c>
      <c r="K104" s="201">
        <f t="shared" si="30"/>
        <v>1.4904347953024297E-3</v>
      </c>
    </row>
    <row r="105" spans="2:14" x14ac:dyDescent="0.25">
      <c r="B105" s="186" t="s">
        <v>52</v>
      </c>
      <c r="C105" s="184"/>
      <c r="D105" s="184"/>
      <c r="E105" s="184"/>
      <c r="F105" s="184"/>
      <c r="G105" s="184"/>
      <c r="H105" s="185"/>
      <c r="I105" s="185"/>
      <c r="J105" s="185"/>
      <c r="K105" s="184"/>
      <c r="L105" s="202"/>
      <c r="M105" s="202"/>
      <c r="N105" s="202"/>
    </row>
    <row r="106" spans="2:14" x14ac:dyDescent="0.25">
      <c r="B106" s="187" t="s">
        <v>70</v>
      </c>
      <c r="C106" s="188">
        <v>142901</v>
      </c>
      <c r="D106" s="188">
        <v>77467</v>
      </c>
      <c r="E106" s="188">
        <v>107459</v>
      </c>
      <c r="F106" s="188">
        <v>198873</v>
      </c>
      <c r="G106" s="188">
        <v>252588</v>
      </c>
      <c r="H106" s="188">
        <v>239146</v>
      </c>
      <c r="I106" s="189">
        <f>IFERROR(H106/G106-1,"-")</f>
        <v>-5.3217096615832848E-2</v>
      </c>
      <c r="J106" s="188">
        <f>H106-G106</f>
        <v>-13442</v>
      </c>
      <c r="K106" s="189">
        <f>H106/H$8</f>
        <v>4.3637551365988597E-2</v>
      </c>
      <c r="L106" s="131"/>
      <c r="M106" s="131"/>
      <c r="N106" s="131"/>
    </row>
    <row r="107" spans="2:14" x14ac:dyDescent="0.25">
      <c r="B107" s="190" t="s">
        <v>99</v>
      </c>
      <c r="C107" s="191">
        <v>31009</v>
      </c>
      <c r="D107" s="191">
        <v>30584</v>
      </c>
      <c r="E107" s="191">
        <v>44398</v>
      </c>
      <c r="F107" s="191">
        <v>48630</v>
      </c>
      <c r="G107" s="191">
        <v>55684</v>
      </c>
      <c r="H107" s="191">
        <v>49807</v>
      </c>
      <c r="I107" s="192">
        <f>IFERROR(H107/G107-1,"-")</f>
        <v>-0.10554198692622652</v>
      </c>
      <c r="J107" s="191">
        <f t="shared" ref="J107:J117" si="32">H107-G107</f>
        <v>-5877</v>
      </c>
      <c r="K107" s="192">
        <f>H107/H$8</f>
        <v>9.0884042421190154E-3</v>
      </c>
    </row>
    <row r="108" spans="2:14" x14ac:dyDescent="0.25">
      <c r="B108" s="194" t="s">
        <v>105</v>
      </c>
      <c r="C108" s="195">
        <v>11886</v>
      </c>
      <c r="D108" s="195">
        <v>4963</v>
      </c>
      <c r="E108" s="195">
        <v>24120</v>
      </c>
      <c r="F108" s="195">
        <v>16359</v>
      </c>
      <c r="G108" s="195">
        <v>19520</v>
      </c>
      <c r="H108" s="195">
        <v>16099</v>
      </c>
      <c r="I108" s="196">
        <f>IFERROR(H108/G108-1,"-")</f>
        <v>-0.17525614754098362</v>
      </c>
      <c r="J108" s="195">
        <f t="shared" si="32"/>
        <v>-3421</v>
      </c>
      <c r="K108" s="196">
        <f>H108/H$8</f>
        <v>2.937623625070252E-3</v>
      </c>
    </row>
    <row r="109" spans="2:14" x14ac:dyDescent="0.25">
      <c r="B109" s="194" t="s">
        <v>102</v>
      </c>
      <c r="C109" s="195">
        <v>19123</v>
      </c>
      <c r="D109" s="195">
        <v>25621</v>
      </c>
      <c r="E109" s="195">
        <v>20278</v>
      </c>
      <c r="F109" s="195">
        <v>32271</v>
      </c>
      <c r="G109" s="195">
        <v>36164</v>
      </c>
      <c r="H109" s="195">
        <v>33708</v>
      </c>
      <c r="I109" s="196">
        <f>IFERROR(H109/G109-1,"-")</f>
        <v>-6.791284149983412E-2</v>
      </c>
      <c r="J109" s="195">
        <f t="shared" si="32"/>
        <v>-2456</v>
      </c>
      <c r="K109" s="196">
        <f>H109/H$8</f>
        <v>6.1507806170487643E-3</v>
      </c>
    </row>
    <row r="110" spans="2:14" x14ac:dyDescent="0.25">
      <c r="B110" s="190" t="s">
        <v>109</v>
      </c>
      <c r="C110" s="191">
        <v>111892</v>
      </c>
      <c r="D110" s="191">
        <v>46883</v>
      </c>
      <c r="E110" s="191">
        <v>63061</v>
      </c>
      <c r="F110" s="191">
        <v>150243</v>
      </c>
      <c r="G110" s="191">
        <v>196904</v>
      </c>
      <c r="H110" s="191">
        <v>189339</v>
      </c>
      <c r="I110" s="192">
        <f>IFERROR(H110/G110-1,"-")</f>
        <v>-3.841973753707395E-2</v>
      </c>
      <c r="J110" s="191">
        <f t="shared" si="32"/>
        <v>-7565</v>
      </c>
      <c r="K110" s="192">
        <f>H110/H$8</f>
        <v>3.4549147123869584E-2</v>
      </c>
    </row>
    <row r="111" spans="2:14" x14ac:dyDescent="0.25">
      <c r="B111" s="194" t="s">
        <v>112</v>
      </c>
      <c r="C111" s="195">
        <v>61414</v>
      </c>
      <c r="D111" s="195">
        <v>26382</v>
      </c>
      <c r="E111" s="195">
        <v>26812</v>
      </c>
      <c r="F111" s="195">
        <v>90804</v>
      </c>
      <c r="G111" s="195">
        <v>128108</v>
      </c>
      <c r="H111" s="195">
        <v>116734</v>
      </c>
      <c r="I111" s="196">
        <f t="shared" ref="I111:I118" si="33">IFERROR(H111/G111-1,"-")</f>
        <v>-8.8784463109251588E-2</v>
      </c>
      <c r="J111" s="195">
        <f t="shared" si="32"/>
        <v>-11374</v>
      </c>
      <c r="K111" s="196">
        <f t="shared" ref="K111:K118" si="34">H111/H$8</f>
        <v>2.1300736458721086E-2</v>
      </c>
    </row>
    <row r="112" spans="2:14" x14ac:dyDescent="0.25">
      <c r="B112" s="194" t="s">
        <v>115</v>
      </c>
      <c r="C112" s="195">
        <v>9783</v>
      </c>
      <c r="D112" s="195">
        <v>3197</v>
      </c>
      <c r="E112" s="195">
        <v>7197</v>
      </c>
      <c r="F112" s="195">
        <v>6944</v>
      </c>
      <c r="G112" s="195">
        <v>8880</v>
      </c>
      <c r="H112" s="195">
        <v>8516</v>
      </c>
      <c r="I112" s="196">
        <f t="shared" si="33"/>
        <v>-4.0990990990991016E-2</v>
      </c>
      <c r="J112" s="195">
        <f t="shared" si="32"/>
        <v>-364</v>
      </c>
      <c r="K112" s="196">
        <f t="shared" si="34"/>
        <v>1.553935200391221E-3</v>
      </c>
    </row>
    <row r="113" spans="2:14" x14ac:dyDescent="0.25">
      <c r="B113" s="194" t="s">
        <v>118</v>
      </c>
      <c r="C113" s="195">
        <v>11371</v>
      </c>
      <c r="D113" s="195">
        <v>2498</v>
      </c>
      <c r="E113" s="195">
        <v>6746</v>
      </c>
      <c r="F113" s="195">
        <v>9830</v>
      </c>
      <c r="G113" s="195">
        <v>13414</v>
      </c>
      <c r="H113" s="195">
        <v>14245</v>
      </c>
      <c r="I113" s="196">
        <f t="shared" si="33"/>
        <v>6.1950201282242379E-2</v>
      </c>
      <c r="J113" s="195">
        <f t="shared" si="32"/>
        <v>831</v>
      </c>
      <c r="K113" s="196">
        <f t="shared" si="34"/>
        <v>2.5993197427868651E-3</v>
      </c>
    </row>
    <row r="114" spans="2:14" x14ac:dyDescent="0.25">
      <c r="B114" s="194" t="s">
        <v>125</v>
      </c>
      <c r="C114" s="195">
        <v>2496</v>
      </c>
      <c r="D114" s="195">
        <v>1300</v>
      </c>
      <c r="E114" s="195">
        <v>3663</v>
      </c>
      <c r="F114" s="195">
        <v>6290</v>
      </c>
      <c r="G114" s="195">
        <v>6514</v>
      </c>
      <c r="H114" s="195">
        <v>6482</v>
      </c>
      <c r="I114" s="196">
        <f t="shared" si="33"/>
        <v>-4.912496162112423E-3</v>
      </c>
      <c r="J114" s="195">
        <f t="shared" si="32"/>
        <v>-32</v>
      </c>
      <c r="K114" s="196">
        <f t="shared" si="34"/>
        <v>1.1827862809929419E-3</v>
      </c>
    </row>
    <row r="115" spans="2:14" x14ac:dyDescent="0.25">
      <c r="B115" s="194" t="s">
        <v>121</v>
      </c>
      <c r="C115" s="195">
        <v>3749</v>
      </c>
      <c r="D115" s="195">
        <v>2838</v>
      </c>
      <c r="E115" s="195">
        <v>4368</v>
      </c>
      <c r="F115" s="195">
        <v>4750</v>
      </c>
      <c r="G115" s="195">
        <v>5340</v>
      </c>
      <c r="H115" s="195">
        <v>5146</v>
      </c>
      <c r="I115" s="196">
        <f t="shared" si="33"/>
        <v>-3.6329588014981318E-2</v>
      </c>
      <c r="J115" s="195">
        <f t="shared" si="32"/>
        <v>-194</v>
      </c>
      <c r="K115" s="196">
        <f t="shared" si="34"/>
        <v>9.3900311662907738E-4</v>
      </c>
    </row>
    <row r="116" spans="2:14" x14ac:dyDescent="0.25">
      <c r="B116" s="194" t="s">
        <v>130</v>
      </c>
      <c r="C116" s="195">
        <v>826</v>
      </c>
      <c r="D116" s="195">
        <v>406</v>
      </c>
      <c r="E116" s="195">
        <v>369</v>
      </c>
      <c r="F116" s="195">
        <v>1261</v>
      </c>
      <c r="G116" s="195">
        <v>1457</v>
      </c>
      <c r="H116" s="195">
        <v>1177</v>
      </c>
      <c r="I116" s="196">
        <f t="shared" si="33"/>
        <v>-0.19217570350034319</v>
      </c>
      <c r="J116" s="195">
        <f t="shared" si="32"/>
        <v>-280</v>
      </c>
      <c r="K116" s="196">
        <f t="shared" si="34"/>
        <v>2.1477004824571009E-4</v>
      </c>
    </row>
    <row r="117" spans="2:14" x14ac:dyDescent="0.25">
      <c r="B117" s="194" t="s">
        <v>133</v>
      </c>
      <c r="C117" s="195">
        <v>1664</v>
      </c>
      <c r="D117" s="195">
        <v>932</v>
      </c>
      <c r="E117" s="195">
        <v>521</v>
      </c>
      <c r="F117" s="195">
        <v>980</v>
      </c>
      <c r="G117" s="195">
        <v>944</v>
      </c>
      <c r="H117" s="195">
        <v>1508</v>
      </c>
      <c r="I117" s="196">
        <f t="shared" si="33"/>
        <v>0.59745762711864403</v>
      </c>
      <c r="J117" s="195">
        <f t="shared" si="32"/>
        <v>564</v>
      </c>
      <c r="K117" s="196">
        <f t="shared" si="34"/>
        <v>2.7516842205142805E-4</v>
      </c>
    </row>
    <row r="118" spans="2:14" x14ac:dyDescent="0.25">
      <c r="B118" s="199" t="s">
        <v>147</v>
      </c>
      <c r="C118" s="200">
        <f t="shared" ref="C118:H118" si="35">C110-SUM(C111:C117)</f>
        <v>20589</v>
      </c>
      <c r="D118" s="200">
        <f t="shared" si="35"/>
        <v>9330</v>
      </c>
      <c r="E118" s="200">
        <f t="shared" si="35"/>
        <v>13385</v>
      </c>
      <c r="F118" s="200">
        <f t="shared" si="35"/>
        <v>29384</v>
      </c>
      <c r="G118" s="200">
        <f t="shared" si="35"/>
        <v>32247</v>
      </c>
      <c r="H118" s="200">
        <f t="shared" si="35"/>
        <v>35531</v>
      </c>
      <c r="I118" s="201">
        <f t="shared" si="33"/>
        <v>0.10183893075324835</v>
      </c>
      <c r="J118" s="200">
        <f>H118-G118</f>
        <v>3284</v>
      </c>
      <c r="K118" s="201">
        <f t="shared" si="34"/>
        <v>6.4834278540512533E-3</v>
      </c>
    </row>
    <row r="119" spans="2:14" x14ac:dyDescent="0.25">
      <c r="B119" s="186" t="s">
        <v>53</v>
      </c>
      <c r="C119" s="184"/>
      <c r="D119" s="184"/>
      <c r="E119" s="184"/>
      <c r="F119" s="184"/>
      <c r="G119" s="184"/>
      <c r="H119" s="185"/>
      <c r="I119" s="185"/>
      <c r="J119" s="185"/>
      <c r="K119" s="184"/>
      <c r="L119" s="202"/>
      <c r="M119" s="202"/>
      <c r="N119" s="202"/>
    </row>
    <row r="120" spans="2:14" x14ac:dyDescent="0.25">
      <c r="B120" s="187" t="s">
        <v>70</v>
      </c>
      <c r="C120" s="188">
        <v>220415</v>
      </c>
      <c r="D120" s="188">
        <v>103516</v>
      </c>
      <c r="E120" s="188">
        <v>164258</v>
      </c>
      <c r="F120" s="188">
        <v>229131</v>
      </c>
      <c r="G120" s="188">
        <v>239109</v>
      </c>
      <c r="H120" s="188">
        <v>250871</v>
      </c>
      <c r="I120" s="189">
        <f>IFERROR(H120/G120-1,"-")</f>
        <v>4.9190954752853289E-2</v>
      </c>
      <c r="J120" s="188">
        <f>H120-G120</f>
        <v>11762</v>
      </c>
      <c r="K120" s="189">
        <f>H120/H$8</f>
        <v>4.5777040589166977E-2</v>
      </c>
      <c r="L120" s="131"/>
      <c r="M120" s="131"/>
      <c r="N120" s="131"/>
    </row>
    <row r="121" spans="2:14" x14ac:dyDescent="0.25">
      <c r="B121" s="190" t="s">
        <v>99</v>
      </c>
      <c r="C121" s="191">
        <v>120142</v>
      </c>
      <c r="D121" s="191">
        <v>61571</v>
      </c>
      <c r="E121" s="191">
        <v>104557</v>
      </c>
      <c r="F121" s="191">
        <v>134886</v>
      </c>
      <c r="G121" s="191">
        <v>146430</v>
      </c>
      <c r="H121" s="191">
        <v>156566</v>
      </c>
      <c r="I121" s="192">
        <f>IFERROR(H121/G121-1,"-")</f>
        <v>6.9220788089872309E-2</v>
      </c>
      <c r="J121" s="191">
        <f t="shared" ref="J121:J131" si="36">H121-G121</f>
        <v>10136</v>
      </c>
      <c r="K121" s="192">
        <f>H121/H$8</f>
        <v>2.8568978227389841E-2</v>
      </c>
    </row>
    <row r="122" spans="2:14" x14ac:dyDescent="0.25">
      <c r="B122" s="194" t="s">
        <v>105</v>
      </c>
      <c r="C122" s="195">
        <v>61076</v>
      </c>
      <c r="D122" s="195">
        <v>27791</v>
      </c>
      <c r="E122" s="195">
        <v>53247</v>
      </c>
      <c r="F122" s="195">
        <v>69865</v>
      </c>
      <c r="G122" s="195">
        <v>66121</v>
      </c>
      <c r="H122" s="195">
        <v>75793</v>
      </c>
      <c r="I122" s="196">
        <f>IFERROR(H122/G122-1,"-")</f>
        <v>0.14627727953297742</v>
      </c>
      <c r="J122" s="195">
        <f t="shared" si="36"/>
        <v>9672</v>
      </c>
      <c r="K122" s="196">
        <f>H122/H$8</f>
        <v>1.3830132766938915E-2</v>
      </c>
    </row>
    <row r="123" spans="2:14" x14ac:dyDescent="0.25">
      <c r="B123" s="194" t="s">
        <v>102</v>
      </c>
      <c r="C123" s="195">
        <v>59066</v>
      </c>
      <c r="D123" s="195">
        <v>33780</v>
      </c>
      <c r="E123" s="195">
        <v>51310</v>
      </c>
      <c r="F123" s="195">
        <v>65021</v>
      </c>
      <c r="G123" s="195">
        <v>80309</v>
      </c>
      <c r="H123" s="195">
        <v>80773</v>
      </c>
      <c r="I123" s="196">
        <f>IFERROR(H123/G123-1,"-")</f>
        <v>5.7776836967213807E-3</v>
      </c>
      <c r="J123" s="195">
        <f t="shared" si="36"/>
        <v>464</v>
      </c>
      <c r="K123" s="196">
        <f>H123/H$8</f>
        <v>1.4738845460450926E-2</v>
      </c>
    </row>
    <row r="124" spans="2:14" x14ac:dyDescent="0.25">
      <c r="B124" s="190" t="s">
        <v>109</v>
      </c>
      <c r="C124" s="191">
        <v>100273</v>
      </c>
      <c r="D124" s="191">
        <v>41945</v>
      </c>
      <c r="E124" s="191">
        <v>59701</v>
      </c>
      <c r="F124" s="191">
        <v>94245</v>
      </c>
      <c r="G124" s="191">
        <v>92679</v>
      </c>
      <c r="H124" s="191">
        <v>94305</v>
      </c>
      <c r="I124" s="192">
        <f>IFERROR(H124/G124-1,"-")</f>
        <v>1.7544427540219454E-2</v>
      </c>
      <c r="J124" s="191">
        <f t="shared" si="36"/>
        <v>1626</v>
      </c>
      <c r="K124" s="192">
        <f>H124/H$8</f>
        <v>1.7208062361777136E-2</v>
      </c>
    </row>
    <row r="125" spans="2:14" x14ac:dyDescent="0.25">
      <c r="B125" s="194" t="s">
        <v>112</v>
      </c>
      <c r="C125" s="195">
        <v>10460</v>
      </c>
      <c r="D125" s="195">
        <v>3941</v>
      </c>
      <c r="E125" s="195">
        <v>3336</v>
      </c>
      <c r="F125" s="195">
        <v>9917</v>
      </c>
      <c r="G125" s="195">
        <v>11646</v>
      </c>
      <c r="H125" s="195">
        <v>10656</v>
      </c>
      <c r="I125" s="196">
        <f t="shared" ref="I125:I132" si="37">IFERROR(H125/G125-1,"-")</f>
        <v>-8.5007727975270453E-2</v>
      </c>
      <c r="J125" s="195">
        <f t="shared" si="36"/>
        <v>-990</v>
      </c>
      <c r="K125" s="196">
        <f t="shared" ref="K125:K132" si="38">H125/H$8</f>
        <v>1.9444261972016029E-3</v>
      </c>
    </row>
    <row r="126" spans="2:14" x14ac:dyDescent="0.25">
      <c r="B126" s="194" t="s">
        <v>115</v>
      </c>
      <c r="C126" s="195">
        <v>9550</v>
      </c>
      <c r="D126" s="195">
        <v>4053</v>
      </c>
      <c r="E126" s="195">
        <v>7314</v>
      </c>
      <c r="F126" s="195">
        <v>11261</v>
      </c>
      <c r="G126" s="195">
        <v>13316</v>
      </c>
      <c r="H126" s="195">
        <v>13127</v>
      </c>
      <c r="I126" s="196">
        <f t="shared" si="37"/>
        <v>-1.4193451486932962E-2</v>
      </c>
      <c r="J126" s="195">
        <f t="shared" si="36"/>
        <v>-189</v>
      </c>
      <c r="K126" s="196">
        <f t="shared" si="38"/>
        <v>2.3953155678177029E-3</v>
      </c>
    </row>
    <row r="127" spans="2:14" x14ac:dyDescent="0.25">
      <c r="B127" s="194" t="s">
        <v>118</v>
      </c>
      <c r="C127" s="195">
        <v>6709</v>
      </c>
      <c r="D127" s="195">
        <v>2906</v>
      </c>
      <c r="E127" s="195">
        <v>7134</v>
      </c>
      <c r="F127" s="195">
        <v>8524</v>
      </c>
      <c r="G127" s="195">
        <v>8756</v>
      </c>
      <c r="H127" s="195">
        <v>8567</v>
      </c>
      <c r="I127" s="196">
        <f t="shared" si="37"/>
        <v>-2.1585198720877163E-2</v>
      </c>
      <c r="J127" s="195">
        <f t="shared" si="36"/>
        <v>-189</v>
      </c>
      <c r="K127" s="196">
        <f t="shared" si="38"/>
        <v>1.5632412942404403E-3</v>
      </c>
    </row>
    <row r="128" spans="2:14" x14ac:dyDescent="0.25">
      <c r="B128" s="194" t="s">
        <v>125</v>
      </c>
      <c r="C128" s="195">
        <v>1866</v>
      </c>
      <c r="D128" s="195">
        <v>784</v>
      </c>
      <c r="E128" s="195">
        <v>1333</v>
      </c>
      <c r="F128" s="195">
        <v>2573</v>
      </c>
      <c r="G128" s="195">
        <v>2637</v>
      </c>
      <c r="H128" s="195">
        <v>2356</v>
      </c>
      <c r="I128" s="196">
        <f t="shared" si="37"/>
        <v>-0.10656048540007579</v>
      </c>
      <c r="J128" s="195">
        <f t="shared" si="36"/>
        <v>-281</v>
      </c>
      <c r="K128" s="196">
        <f t="shared" si="38"/>
        <v>4.2990504134825225E-4</v>
      </c>
    </row>
    <row r="129" spans="2:14" x14ac:dyDescent="0.25">
      <c r="B129" s="194" t="s">
        <v>121</v>
      </c>
      <c r="C129" s="195">
        <v>1484</v>
      </c>
      <c r="D129" s="195">
        <v>812</v>
      </c>
      <c r="E129" s="195">
        <v>1357</v>
      </c>
      <c r="F129" s="195">
        <v>1836</v>
      </c>
      <c r="G129" s="195">
        <v>1934</v>
      </c>
      <c r="H129" s="195">
        <v>2091</v>
      </c>
      <c r="I129" s="196">
        <f t="shared" si="37"/>
        <v>8.1178903826266913E-2</v>
      </c>
      <c r="J129" s="195">
        <f t="shared" si="36"/>
        <v>157</v>
      </c>
      <c r="K129" s="196">
        <f t="shared" si="38"/>
        <v>3.815498478179947E-4</v>
      </c>
    </row>
    <row r="130" spans="2:14" x14ac:dyDescent="0.25">
      <c r="B130" s="194" t="s">
        <v>130</v>
      </c>
      <c r="C130" s="195">
        <v>1623</v>
      </c>
      <c r="D130" s="195">
        <v>678</v>
      </c>
      <c r="E130" s="195">
        <v>555</v>
      </c>
      <c r="F130" s="195">
        <v>1075</v>
      </c>
      <c r="G130" s="195">
        <v>1341</v>
      </c>
      <c r="H130" s="195">
        <v>1334</v>
      </c>
      <c r="I130" s="196">
        <f t="shared" si="37"/>
        <v>-5.2199850857569396E-3</v>
      </c>
      <c r="J130" s="195">
        <f t="shared" si="36"/>
        <v>-7</v>
      </c>
      <c r="K130" s="196">
        <f t="shared" si="38"/>
        <v>2.434182195070325E-4</v>
      </c>
    </row>
    <row r="131" spans="2:14" x14ac:dyDescent="0.25">
      <c r="B131" s="194" t="s">
        <v>133</v>
      </c>
      <c r="C131" s="195">
        <v>2681</v>
      </c>
      <c r="D131" s="195">
        <v>1097</v>
      </c>
      <c r="E131" s="195">
        <v>919</v>
      </c>
      <c r="F131" s="195">
        <v>1885</v>
      </c>
      <c r="G131" s="195">
        <v>2455</v>
      </c>
      <c r="H131" s="195">
        <v>2493</v>
      </c>
      <c r="I131" s="196">
        <f t="shared" si="37"/>
        <v>1.5478615071283119E-2</v>
      </c>
      <c r="J131" s="195">
        <f t="shared" si="36"/>
        <v>38</v>
      </c>
      <c r="K131" s="196">
        <f t="shared" si="38"/>
        <v>4.5490376404125338E-4</v>
      </c>
    </row>
    <row r="132" spans="2:14" x14ac:dyDescent="0.25">
      <c r="B132" s="199" t="s">
        <v>147</v>
      </c>
      <c r="C132" s="200">
        <f t="shared" ref="C132:H132" si="39">C124-SUM(C125:C131)</f>
        <v>65900</v>
      </c>
      <c r="D132" s="200">
        <f t="shared" si="39"/>
        <v>27674</v>
      </c>
      <c r="E132" s="200">
        <f t="shared" si="39"/>
        <v>37753</v>
      </c>
      <c r="F132" s="200">
        <f t="shared" si="39"/>
        <v>57174</v>
      </c>
      <c r="G132" s="200">
        <f t="shared" si="39"/>
        <v>50594</v>
      </c>
      <c r="H132" s="200">
        <f t="shared" si="39"/>
        <v>53681</v>
      </c>
      <c r="I132" s="201">
        <f t="shared" si="37"/>
        <v>6.1015140135193935E-2</v>
      </c>
      <c r="J132" s="200">
        <f>H132-G132</f>
        <v>3087</v>
      </c>
      <c r="K132" s="201">
        <f t="shared" si="38"/>
        <v>9.795302429802857E-3</v>
      </c>
    </row>
    <row r="133" spans="2:14" x14ac:dyDescent="0.25">
      <c r="B133" s="186" t="s">
        <v>54</v>
      </c>
      <c r="C133" s="184"/>
      <c r="D133" s="184"/>
      <c r="E133" s="184"/>
      <c r="F133" s="184"/>
      <c r="G133" s="184"/>
      <c r="H133" s="185"/>
      <c r="I133" s="185"/>
      <c r="J133" s="185"/>
      <c r="K133" s="184"/>
      <c r="L133" s="202"/>
      <c r="M133" s="202"/>
      <c r="N133" s="202"/>
    </row>
    <row r="134" spans="2:14" x14ac:dyDescent="0.25">
      <c r="B134" s="187" t="s">
        <v>70</v>
      </c>
      <c r="C134" s="188">
        <v>250224</v>
      </c>
      <c r="D134" s="188">
        <v>96681</v>
      </c>
      <c r="E134" s="188">
        <v>140346</v>
      </c>
      <c r="F134" s="188">
        <v>257117</v>
      </c>
      <c r="G134" s="188">
        <v>278594</v>
      </c>
      <c r="H134" s="188">
        <v>287810</v>
      </c>
      <c r="I134" s="189">
        <f>IFERROR(H134/G134-1,"-")</f>
        <v>3.3080396562739978E-2</v>
      </c>
      <c r="J134" s="188">
        <f>H134-G134</f>
        <v>9216</v>
      </c>
      <c r="K134" s="189">
        <f>H134/H$8</f>
        <v>5.2517389622428051E-2</v>
      </c>
      <c r="L134" s="131"/>
      <c r="M134" s="131"/>
      <c r="N134" s="131"/>
    </row>
    <row r="135" spans="2:14" x14ac:dyDescent="0.25">
      <c r="B135" s="190" t="s">
        <v>99</v>
      </c>
      <c r="C135" s="191">
        <v>45577</v>
      </c>
      <c r="D135" s="191">
        <v>26839</v>
      </c>
      <c r="E135" s="191">
        <v>45216</v>
      </c>
      <c r="F135" s="191">
        <v>29061</v>
      </c>
      <c r="G135" s="191">
        <v>32018</v>
      </c>
      <c r="H135" s="191">
        <v>29188</v>
      </c>
      <c r="I135" s="192">
        <f>IFERROR(H135/G135-1,"-")</f>
        <v>-8.838778187269658E-2</v>
      </c>
      <c r="J135" s="191">
        <f t="shared" ref="J135:J145" si="40">H135-G135</f>
        <v>-2830</v>
      </c>
      <c r="K135" s="192">
        <f>H135/H$8</f>
        <v>5.3260052406081445E-3</v>
      </c>
    </row>
    <row r="136" spans="2:14" x14ac:dyDescent="0.25">
      <c r="B136" s="194" t="s">
        <v>105</v>
      </c>
      <c r="C136" s="195">
        <v>24890</v>
      </c>
      <c r="D136" s="195">
        <v>20058</v>
      </c>
      <c r="E136" s="195">
        <v>34195</v>
      </c>
      <c r="F136" s="195">
        <v>19943</v>
      </c>
      <c r="G136" s="195">
        <v>20738</v>
      </c>
      <c r="H136" s="195">
        <v>18376</v>
      </c>
      <c r="I136" s="196">
        <f>IFERROR(H136/G136-1,"-")</f>
        <v>-0.1138971935577201</v>
      </c>
      <c r="J136" s="195">
        <f t="shared" si="40"/>
        <v>-2362</v>
      </c>
      <c r="K136" s="196">
        <f>H136/H$8</f>
        <v>3.3531133445736348E-3</v>
      </c>
    </row>
    <row r="137" spans="2:14" x14ac:dyDescent="0.25">
      <c r="B137" s="194" t="s">
        <v>102</v>
      </c>
      <c r="C137" s="195">
        <v>20687</v>
      </c>
      <c r="D137" s="195">
        <v>6781</v>
      </c>
      <c r="E137" s="195">
        <v>11021</v>
      </c>
      <c r="F137" s="195">
        <v>9118</v>
      </c>
      <c r="G137" s="195">
        <v>11280</v>
      </c>
      <c r="H137" s="195">
        <v>10812</v>
      </c>
      <c r="I137" s="196">
        <f>IFERROR(H137/G137-1,"-")</f>
        <v>-4.1489361702127692E-2</v>
      </c>
      <c r="J137" s="195">
        <f t="shared" si="40"/>
        <v>-468</v>
      </c>
      <c r="K137" s="196">
        <f>H137/H$8</f>
        <v>1.9728918960345092E-3</v>
      </c>
    </row>
    <row r="138" spans="2:14" x14ac:dyDescent="0.25">
      <c r="B138" s="190" t="s">
        <v>109</v>
      </c>
      <c r="C138" s="191">
        <v>204647</v>
      </c>
      <c r="D138" s="191">
        <v>69842</v>
      </c>
      <c r="E138" s="191">
        <v>95130</v>
      </c>
      <c r="F138" s="191">
        <v>228056</v>
      </c>
      <c r="G138" s="191">
        <v>246576</v>
      </c>
      <c r="H138" s="191">
        <v>258622</v>
      </c>
      <c r="I138" s="192">
        <f>IFERROR(H138/G138-1,"-")</f>
        <v>4.8853091947310467E-2</v>
      </c>
      <c r="J138" s="191">
        <f t="shared" si="40"/>
        <v>12046</v>
      </c>
      <c r="K138" s="192">
        <f>H138/H$8</f>
        <v>4.7191384381819905E-2</v>
      </c>
    </row>
    <row r="139" spans="2:14" x14ac:dyDescent="0.25">
      <c r="B139" s="194" t="s">
        <v>112</v>
      </c>
      <c r="C139" s="195">
        <v>100583</v>
      </c>
      <c r="D139" s="195">
        <v>26093</v>
      </c>
      <c r="E139" s="195">
        <v>26467</v>
      </c>
      <c r="F139" s="195">
        <v>96562</v>
      </c>
      <c r="G139" s="195">
        <v>105830</v>
      </c>
      <c r="H139" s="195">
        <v>116159</v>
      </c>
      <c r="I139" s="196">
        <f t="shared" ref="I139:I146" si="41">IFERROR(H139/G139-1,"-")</f>
        <v>9.7599924407067995E-2</v>
      </c>
      <c r="J139" s="195">
        <f t="shared" si="40"/>
        <v>10329</v>
      </c>
      <c r="K139" s="196">
        <f t="shared" ref="K139:K146" si="42">H139/H$8</f>
        <v>2.119581481238185E-2</v>
      </c>
    </row>
    <row r="140" spans="2:14" x14ac:dyDescent="0.25">
      <c r="B140" s="194" t="s">
        <v>115</v>
      </c>
      <c r="C140" s="195">
        <v>15093</v>
      </c>
      <c r="D140" s="195">
        <v>6042</v>
      </c>
      <c r="E140" s="195">
        <v>9298</v>
      </c>
      <c r="F140" s="195">
        <v>16587</v>
      </c>
      <c r="G140" s="195">
        <v>20785</v>
      </c>
      <c r="H140" s="195">
        <v>21459</v>
      </c>
      <c r="I140" s="196">
        <f t="shared" si="41"/>
        <v>3.2427231176329174E-2</v>
      </c>
      <c r="J140" s="195">
        <f t="shared" si="40"/>
        <v>674</v>
      </c>
      <c r="K140" s="196">
        <f t="shared" si="42"/>
        <v>3.9156758413803677E-3</v>
      </c>
    </row>
    <row r="141" spans="2:14" x14ac:dyDescent="0.25">
      <c r="B141" s="194" t="s">
        <v>118</v>
      </c>
      <c r="C141" s="195">
        <v>19622</v>
      </c>
      <c r="D141" s="195">
        <v>6586</v>
      </c>
      <c r="E141" s="195">
        <v>15246</v>
      </c>
      <c r="F141" s="195">
        <v>26940</v>
      </c>
      <c r="G141" s="195">
        <v>25089</v>
      </c>
      <c r="H141" s="195">
        <v>24579</v>
      </c>
      <c r="I141" s="196">
        <f t="shared" si="41"/>
        <v>-2.0327633624297459E-2</v>
      </c>
      <c r="J141" s="195">
        <f t="shared" si="40"/>
        <v>-510</v>
      </c>
      <c r="K141" s="196">
        <f t="shared" si="42"/>
        <v>4.4849898180384946E-3</v>
      </c>
    </row>
    <row r="142" spans="2:14" x14ac:dyDescent="0.25">
      <c r="B142" s="194" t="s">
        <v>125</v>
      </c>
      <c r="C142" s="195">
        <v>3955</v>
      </c>
      <c r="D142" s="195">
        <v>1273</v>
      </c>
      <c r="E142" s="195">
        <v>4366</v>
      </c>
      <c r="F142" s="195">
        <v>9965</v>
      </c>
      <c r="G142" s="195">
        <v>8878</v>
      </c>
      <c r="H142" s="195">
        <v>6534</v>
      </c>
      <c r="I142" s="196">
        <f t="shared" si="41"/>
        <v>-0.26402342870015771</v>
      </c>
      <c r="J142" s="195">
        <f t="shared" si="40"/>
        <v>-2344</v>
      </c>
      <c r="K142" s="196">
        <f t="shared" si="42"/>
        <v>1.1922748472705774E-3</v>
      </c>
    </row>
    <row r="143" spans="2:14" x14ac:dyDescent="0.25">
      <c r="B143" s="194" t="s">
        <v>121</v>
      </c>
      <c r="C143" s="195">
        <v>4225</v>
      </c>
      <c r="D143" s="195">
        <v>1935</v>
      </c>
      <c r="E143" s="195">
        <v>3344</v>
      </c>
      <c r="F143" s="195">
        <v>4569</v>
      </c>
      <c r="G143" s="195">
        <v>5490</v>
      </c>
      <c r="H143" s="195">
        <v>5563</v>
      </c>
      <c r="I143" s="196">
        <f t="shared" si="41"/>
        <v>1.3296903460837894E-2</v>
      </c>
      <c r="J143" s="195">
        <f t="shared" si="40"/>
        <v>73</v>
      </c>
      <c r="K143" s="196">
        <f t="shared" si="42"/>
        <v>1.0150941192785771E-3</v>
      </c>
    </row>
    <row r="144" spans="2:14" x14ac:dyDescent="0.25">
      <c r="B144" s="194" t="s">
        <v>130</v>
      </c>
      <c r="C144" s="195">
        <v>2428</v>
      </c>
      <c r="D144" s="195">
        <v>1979</v>
      </c>
      <c r="E144" s="195">
        <v>1422</v>
      </c>
      <c r="F144" s="195">
        <v>3324</v>
      </c>
      <c r="G144" s="195">
        <v>3691</v>
      </c>
      <c r="H144" s="195">
        <v>3402</v>
      </c>
      <c r="I144" s="196">
        <f t="shared" si="41"/>
        <v>-7.8298564074776533E-2</v>
      </c>
      <c r="J144" s="195">
        <f t="shared" si="40"/>
        <v>-289</v>
      </c>
      <c r="K144" s="196">
        <f t="shared" si="42"/>
        <v>6.2077120147145768E-4</v>
      </c>
    </row>
    <row r="145" spans="2:14" x14ac:dyDescent="0.25">
      <c r="B145" s="194" t="s">
        <v>133</v>
      </c>
      <c r="C145" s="195">
        <v>6221</v>
      </c>
      <c r="D145" s="195">
        <v>4050</v>
      </c>
      <c r="E145" s="195">
        <v>947</v>
      </c>
      <c r="F145" s="195">
        <v>2079</v>
      </c>
      <c r="G145" s="195">
        <v>2885</v>
      </c>
      <c r="H145" s="195">
        <v>2731</v>
      </c>
      <c r="I145" s="196">
        <f t="shared" si="41"/>
        <v>-5.3379549393414161E-2</v>
      </c>
      <c r="J145" s="195">
        <f t="shared" si="40"/>
        <v>-154</v>
      </c>
      <c r="K145" s="196">
        <f t="shared" si="42"/>
        <v>4.9833220200427711E-4</v>
      </c>
    </row>
    <row r="146" spans="2:14" x14ac:dyDescent="0.25">
      <c r="B146" s="199" t="s">
        <v>147</v>
      </c>
      <c r="C146" s="200">
        <f t="shared" ref="C146:H146" si="43">C138-SUM(C139:C145)</f>
        <v>52520</v>
      </c>
      <c r="D146" s="200">
        <f t="shared" si="43"/>
        <v>21884</v>
      </c>
      <c r="E146" s="200">
        <f t="shared" si="43"/>
        <v>34040</v>
      </c>
      <c r="F146" s="200">
        <f t="shared" si="43"/>
        <v>68030</v>
      </c>
      <c r="G146" s="200">
        <f t="shared" si="43"/>
        <v>73928</v>
      </c>
      <c r="H146" s="200">
        <f t="shared" si="43"/>
        <v>78195</v>
      </c>
      <c r="I146" s="201">
        <f t="shared" si="41"/>
        <v>5.7718320528081346E-2</v>
      </c>
      <c r="J146" s="200">
        <f>H146-G146</f>
        <v>4267</v>
      </c>
      <c r="K146" s="201">
        <f t="shared" si="42"/>
        <v>1.4268431539994306E-2</v>
      </c>
    </row>
    <row r="147" spans="2:14" x14ac:dyDescent="0.25">
      <c r="B147" s="186" t="s">
        <v>55</v>
      </c>
      <c r="C147" s="184"/>
      <c r="D147" s="184"/>
      <c r="E147" s="184"/>
      <c r="F147" s="184"/>
      <c r="G147" s="184"/>
      <c r="H147" s="185"/>
      <c r="I147" s="185"/>
      <c r="J147" s="185"/>
      <c r="K147" s="184"/>
      <c r="L147" s="202"/>
      <c r="M147" s="202"/>
      <c r="N147" s="202"/>
    </row>
    <row r="148" spans="2:14" x14ac:dyDescent="0.25">
      <c r="B148" s="187" t="s">
        <v>70</v>
      </c>
      <c r="C148" s="188">
        <v>126097</v>
      </c>
      <c r="D148" s="188">
        <v>43425</v>
      </c>
      <c r="E148" s="188">
        <v>71959</v>
      </c>
      <c r="F148" s="188">
        <v>111437</v>
      </c>
      <c r="G148" s="188">
        <v>123198</v>
      </c>
      <c r="H148" s="188">
        <v>128395</v>
      </c>
      <c r="I148" s="189">
        <f>IFERROR(H148/G148-1,"-")</f>
        <v>4.2184126365687691E-2</v>
      </c>
      <c r="J148" s="188">
        <f>H148-G148</f>
        <v>5197</v>
      </c>
      <c r="K148" s="189">
        <f>H148/H$8</f>
        <v>2.3428547446480836E-2</v>
      </c>
      <c r="L148" s="131"/>
      <c r="M148" s="131"/>
      <c r="N148" s="131"/>
    </row>
    <row r="149" spans="2:14" x14ac:dyDescent="0.25">
      <c r="B149" s="190" t="s">
        <v>99</v>
      </c>
      <c r="C149" s="191">
        <v>54208</v>
      </c>
      <c r="D149" s="191">
        <v>22164</v>
      </c>
      <c r="E149" s="191">
        <v>40392</v>
      </c>
      <c r="F149" s="191">
        <v>57756</v>
      </c>
      <c r="G149" s="191">
        <v>59696</v>
      </c>
      <c r="H149" s="191">
        <v>55970</v>
      </c>
      <c r="I149" s="192">
        <f>IFERROR(H149/G149-1,"-")</f>
        <v>-6.2416242294291102E-2</v>
      </c>
      <c r="J149" s="191">
        <f t="shared" ref="J149:J159" si="44">H149-G149</f>
        <v>-3726</v>
      </c>
      <c r="K149" s="192">
        <f>H149/H$8</f>
        <v>1.0212981818447233E-2</v>
      </c>
    </row>
    <row r="150" spans="2:14" x14ac:dyDescent="0.25">
      <c r="B150" s="194" t="s">
        <v>105</v>
      </c>
      <c r="C150" s="195">
        <v>32990</v>
      </c>
      <c r="D150" s="195">
        <v>14597</v>
      </c>
      <c r="E150" s="195">
        <v>32366</v>
      </c>
      <c r="F150" s="195">
        <v>41603</v>
      </c>
      <c r="G150" s="195">
        <v>44199</v>
      </c>
      <c r="H150" s="195">
        <v>37836</v>
      </c>
      <c r="I150" s="196">
        <f>IFERROR(H150/G150-1,"-")</f>
        <v>-0.14396253308898388</v>
      </c>
      <c r="J150" s="195">
        <f t="shared" si="44"/>
        <v>-6363</v>
      </c>
      <c r="K150" s="196">
        <f>H150/H$8</f>
        <v>6.904026801550286E-3</v>
      </c>
    </row>
    <row r="151" spans="2:14" x14ac:dyDescent="0.25">
      <c r="B151" s="194" t="s">
        <v>102</v>
      </c>
      <c r="C151" s="195">
        <v>21218</v>
      </c>
      <c r="D151" s="195">
        <v>7567</v>
      </c>
      <c r="E151" s="195">
        <v>8026</v>
      </c>
      <c r="F151" s="195">
        <v>16153</v>
      </c>
      <c r="G151" s="195">
        <v>15497</v>
      </c>
      <c r="H151" s="195">
        <v>18134</v>
      </c>
      <c r="I151" s="196">
        <f>IFERROR(H151/G151-1,"-")</f>
        <v>0.17016196683229001</v>
      </c>
      <c r="J151" s="195">
        <f t="shared" si="44"/>
        <v>2637</v>
      </c>
      <c r="K151" s="196">
        <f>H151/H$8</f>
        <v>3.3089550168969467E-3</v>
      </c>
    </row>
    <row r="152" spans="2:14" x14ac:dyDescent="0.25">
      <c r="B152" s="190" t="s">
        <v>109</v>
      </c>
      <c r="C152" s="191">
        <v>71889</v>
      </c>
      <c r="D152" s="191">
        <v>21261</v>
      </c>
      <c r="E152" s="191">
        <v>31567</v>
      </c>
      <c r="F152" s="191">
        <v>53681</v>
      </c>
      <c r="G152" s="191">
        <v>63502</v>
      </c>
      <c r="H152" s="191">
        <v>72425</v>
      </c>
      <c r="I152" s="192">
        <f>IFERROR(H152/G152-1,"-")</f>
        <v>0.14051525936190989</v>
      </c>
      <c r="J152" s="191">
        <f t="shared" si="44"/>
        <v>8923</v>
      </c>
      <c r="K152" s="192">
        <f>H152/H$8</f>
        <v>1.3215565628033605E-2</v>
      </c>
    </row>
    <row r="153" spans="2:14" x14ac:dyDescent="0.25">
      <c r="B153" s="194" t="s">
        <v>112</v>
      </c>
      <c r="C153" s="195">
        <v>21798</v>
      </c>
      <c r="D153" s="195">
        <v>5789</v>
      </c>
      <c r="E153" s="195">
        <v>5609</v>
      </c>
      <c r="F153" s="195">
        <v>19238</v>
      </c>
      <c r="G153" s="195">
        <v>18996</v>
      </c>
      <c r="H153" s="195">
        <v>20085</v>
      </c>
      <c r="I153" s="196">
        <f t="shared" ref="I153:I160" si="45">IFERROR(H153/G153-1,"-")</f>
        <v>5.7327858496525552E-2</v>
      </c>
      <c r="J153" s="195">
        <f t="shared" si="44"/>
        <v>1089</v>
      </c>
      <c r="K153" s="196">
        <f t="shared" ref="K153:K160" si="46">H153/H$8</f>
        <v>3.6649587247366924E-3</v>
      </c>
    </row>
    <row r="154" spans="2:14" x14ac:dyDescent="0.25">
      <c r="B154" s="194" t="s">
        <v>115</v>
      </c>
      <c r="C154" s="195">
        <v>18523</v>
      </c>
      <c r="D154" s="195">
        <v>5079</v>
      </c>
      <c r="E154" s="195">
        <v>8623</v>
      </c>
      <c r="F154" s="195">
        <v>11385</v>
      </c>
      <c r="G154" s="195">
        <v>12605</v>
      </c>
      <c r="H154" s="195">
        <v>13027</v>
      </c>
      <c r="I154" s="196">
        <f t="shared" si="45"/>
        <v>3.3478778262594266E-2</v>
      </c>
      <c r="J154" s="195">
        <f t="shared" si="44"/>
        <v>422</v>
      </c>
      <c r="K154" s="196">
        <f t="shared" si="46"/>
        <v>2.3770683249760959E-3</v>
      </c>
    </row>
    <row r="155" spans="2:14" x14ac:dyDescent="0.25">
      <c r="B155" s="194" t="s">
        <v>118</v>
      </c>
      <c r="C155" s="195">
        <v>9905</v>
      </c>
      <c r="D155" s="195">
        <v>2317</v>
      </c>
      <c r="E155" s="195">
        <v>5206</v>
      </c>
      <c r="F155" s="195">
        <v>6579</v>
      </c>
      <c r="G155" s="195">
        <v>10130</v>
      </c>
      <c r="H155" s="195">
        <v>12879</v>
      </c>
      <c r="I155" s="196">
        <f t="shared" si="45"/>
        <v>0.2713721618953604</v>
      </c>
      <c r="J155" s="195">
        <f t="shared" si="44"/>
        <v>2749</v>
      </c>
      <c r="K155" s="196">
        <f t="shared" si="46"/>
        <v>2.3500624055705181E-3</v>
      </c>
    </row>
    <row r="156" spans="2:14" x14ac:dyDescent="0.25">
      <c r="B156" s="194" t="s">
        <v>125</v>
      </c>
      <c r="C156" s="195">
        <v>1673</v>
      </c>
      <c r="D156" s="195">
        <v>600</v>
      </c>
      <c r="E156" s="195">
        <v>927</v>
      </c>
      <c r="F156" s="195">
        <v>1690</v>
      </c>
      <c r="G156" s="195">
        <v>2031</v>
      </c>
      <c r="H156" s="195">
        <v>2829</v>
      </c>
      <c r="I156" s="196">
        <f t="shared" si="45"/>
        <v>0.39290989660265874</v>
      </c>
      <c r="J156" s="195">
        <f t="shared" si="44"/>
        <v>798</v>
      </c>
      <c r="K156" s="196">
        <f t="shared" si="46"/>
        <v>5.1621449998905165E-4</v>
      </c>
    </row>
    <row r="157" spans="2:14" x14ac:dyDescent="0.25">
      <c r="B157" s="194" t="s">
        <v>121</v>
      </c>
      <c r="C157" s="195">
        <v>3007</v>
      </c>
      <c r="D157" s="195">
        <v>1505</v>
      </c>
      <c r="E157" s="195">
        <v>1749</v>
      </c>
      <c r="F157" s="195">
        <v>2959</v>
      </c>
      <c r="G157" s="195">
        <v>3062</v>
      </c>
      <c r="H157" s="195">
        <v>3505</v>
      </c>
      <c r="I157" s="196">
        <f t="shared" si="45"/>
        <v>0.14467668190725025</v>
      </c>
      <c r="J157" s="195">
        <f t="shared" si="44"/>
        <v>443</v>
      </c>
      <c r="K157" s="196">
        <f t="shared" si="46"/>
        <v>6.3956586159831248E-4</v>
      </c>
    </row>
    <row r="158" spans="2:14" x14ac:dyDescent="0.25">
      <c r="B158" s="194" t="s">
        <v>130</v>
      </c>
      <c r="C158" s="195">
        <v>472</v>
      </c>
      <c r="D158" s="195">
        <v>354</v>
      </c>
      <c r="E158" s="195">
        <v>292</v>
      </c>
      <c r="F158" s="195">
        <v>497</v>
      </c>
      <c r="G158" s="195">
        <v>676</v>
      </c>
      <c r="H158" s="195">
        <v>484</v>
      </c>
      <c r="I158" s="196">
        <f t="shared" si="45"/>
        <v>-0.28402366863905326</v>
      </c>
      <c r="J158" s="195">
        <f t="shared" si="44"/>
        <v>-192</v>
      </c>
      <c r="K158" s="196">
        <f t="shared" si="46"/>
        <v>8.8316655353376099E-5</v>
      </c>
    </row>
    <row r="159" spans="2:14" x14ac:dyDescent="0.25">
      <c r="B159" s="194" t="s">
        <v>133</v>
      </c>
      <c r="C159" s="195">
        <v>1062</v>
      </c>
      <c r="D159" s="195">
        <v>441</v>
      </c>
      <c r="E159" s="195">
        <v>454</v>
      </c>
      <c r="F159" s="195">
        <v>656</v>
      </c>
      <c r="G159" s="195">
        <v>941</v>
      </c>
      <c r="H159" s="195">
        <v>796</v>
      </c>
      <c r="I159" s="196">
        <f t="shared" si="45"/>
        <v>-0.15409139213602552</v>
      </c>
      <c r="J159" s="195">
        <f t="shared" si="44"/>
        <v>-145</v>
      </c>
      <c r="K159" s="196">
        <f t="shared" si="46"/>
        <v>1.4524805301918881E-4</v>
      </c>
    </row>
    <row r="160" spans="2:14" x14ac:dyDescent="0.25">
      <c r="B160" s="199" t="s">
        <v>147</v>
      </c>
      <c r="C160" s="200">
        <f t="shared" ref="C160:H160" si="47">C152-SUM(C153:C159)</f>
        <v>15449</v>
      </c>
      <c r="D160" s="200">
        <f t="shared" si="47"/>
        <v>5176</v>
      </c>
      <c r="E160" s="200">
        <f t="shared" si="47"/>
        <v>8707</v>
      </c>
      <c r="F160" s="200">
        <f t="shared" si="47"/>
        <v>10677</v>
      </c>
      <c r="G160" s="200">
        <f t="shared" si="47"/>
        <v>15061</v>
      </c>
      <c r="H160" s="200">
        <f t="shared" si="47"/>
        <v>18820</v>
      </c>
      <c r="I160" s="201">
        <f t="shared" si="45"/>
        <v>0.24958502091494594</v>
      </c>
      <c r="J160" s="200">
        <f>H160-G160</f>
        <v>3759</v>
      </c>
      <c r="K160" s="201">
        <f t="shared" si="46"/>
        <v>3.4341311027903682E-3</v>
      </c>
    </row>
    <row r="161" spans="2:1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</row>
    <row r="162" spans="2:11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C18B7-D44B-4127-8B62-6A13CB42E62C}">
  <sheetPr>
    <tabColor theme="7" tint="0.79998168889431442"/>
  </sheetPr>
  <dimension ref="A1:T165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10" width="13.7109375" customWidth="1"/>
    <col min="13" max="20" width="11.42578125" hidden="1" customWidth="1"/>
  </cols>
  <sheetData>
    <row r="1" spans="1:20" ht="42.75" customHeight="1" x14ac:dyDescent="0.25"/>
    <row r="2" spans="1:20" ht="18" customHeight="1" x14ac:dyDescent="0.25"/>
    <row r="3" spans="1:20" x14ac:dyDescent="0.25">
      <c r="B3" s="74"/>
    </row>
    <row r="6" spans="1:20" ht="42" customHeight="1" thickBot="1" x14ac:dyDescent="0.3">
      <c r="B6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6" s="12"/>
      <c r="D6" s="12"/>
      <c r="E6" s="12"/>
      <c r="F6" s="12"/>
      <c r="G6" s="12"/>
      <c r="H6" s="12"/>
      <c r="I6" s="12"/>
      <c r="J6" s="12"/>
      <c r="M6" s="12" t="s">
        <v>264</v>
      </c>
      <c r="N6" s="12"/>
      <c r="O6" s="12"/>
      <c r="P6" s="12"/>
      <c r="Q6" s="12"/>
      <c r="R6" s="12"/>
      <c r="S6" s="12"/>
      <c r="T6" s="12"/>
    </row>
    <row r="7" spans="1:20" ht="6" customHeight="1" x14ac:dyDescent="0.25"/>
    <row r="8" spans="1:20" ht="15.75" x14ac:dyDescent="0.25">
      <c r="B8" s="174"/>
      <c r="C8" s="203" t="s">
        <v>45</v>
      </c>
      <c r="D8" s="204"/>
      <c r="E8" s="204"/>
      <c r="F8" s="204"/>
      <c r="G8" s="204"/>
      <c r="H8" s="204"/>
      <c r="I8" s="204"/>
      <c r="J8" s="204"/>
    </row>
    <row r="9" spans="1:20" s="177" customFormat="1" ht="72" customHeight="1" x14ac:dyDescent="0.25">
      <c r="A9"/>
      <c r="B9" s="178"/>
      <c r="C9" s="205" t="s">
        <v>263</v>
      </c>
      <c r="D9" s="205" t="s">
        <v>228</v>
      </c>
      <c r="E9" s="205" t="s">
        <v>229</v>
      </c>
      <c r="F9" s="205" t="s">
        <v>230</v>
      </c>
      <c r="G9" s="205" t="s">
        <v>231</v>
      </c>
      <c r="H9" s="205" t="s">
        <v>232</v>
      </c>
      <c r="I9" s="206" t="str">
        <f>CONCATENATE("var. ",RIGHT(H9,2),"/",RIGHT(G9,2))</f>
        <v>var. 25/24</v>
      </c>
      <c r="J9" s="206" t="str">
        <f>CONCATENATE("Cuota s/ total lugares de residencia ",RIGHT(H9,4))</f>
        <v>Cuota s/ total lugares de residencia 2025</v>
      </c>
      <c r="M9" s="178"/>
      <c r="N9" s="205" t="s">
        <v>263</v>
      </c>
      <c r="O9" s="205" t="s">
        <v>228</v>
      </c>
      <c r="P9" s="205" t="s">
        <v>229</v>
      </c>
      <c r="Q9" s="205" t="s">
        <v>230</v>
      </c>
      <c r="R9" s="205" t="s">
        <v>231</v>
      </c>
      <c r="S9" s="205" t="s">
        <v>232</v>
      </c>
      <c r="T9" s="206" t="str">
        <f>CONCATENATE("Cuota s/ total lugares de residencia ",RIGHT(R9,4))</f>
        <v>Cuota s/ total lugares de residencia 2024</v>
      </c>
    </row>
    <row r="10" spans="1:20" x14ac:dyDescent="0.25">
      <c r="B10" s="183" t="s">
        <v>45</v>
      </c>
      <c r="C10" s="184"/>
      <c r="D10" s="184"/>
      <c r="E10" s="184"/>
      <c r="F10" s="184"/>
      <c r="G10" s="184"/>
      <c r="H10" s="184"/>
      <c r="I10" s="185"/>
      <c r="J10" s="185"/>
      <c r="M10" s="186" t="s">
        <v>51</v>
      </c>
      <c r="N10" s="207"/>
      <c r="O10" s="207"/>
      <c r="P10" s="207"/>
      <c r="Q10" s="207"/>
      <c r="R10" s="207"/>
      <c r="S10" s="208"/>
      <c r="T10" s="208"/>
    </row>
    <row r="11" spans="1:20" x14ac:dyDescent="0.25">
      <c r="B11" s="187" t="s">
        <v>70</v>
      </c>
      <c r="C11" s="209">
        <v>96220</v>
      </c>
      <c r="D11" s="209">
        <v>366988</v>
      </c>
      <c r="E11" s="209">
        <v>432738</v>
      </c>
      <c r="F11" s="209">
        <v>471699</v>
      </c>
      <c r="G11" s="209">
        <v>492579</v>
      </c>
      <c r="H11" s="209">
        <v>493344</v>
      </c>
      <c r="I11" s="210">
        <f t="shared" ref="I11:I23" si="0">IFERROR(H11/G11-1,"-")</f>
        <v>1.5530503736456147E-3</v>
      </c>
      <c r="J11" s="210">
        <f>H11/H11</f>
        <v>1</v>
      </c>
      <c r="K11" s="103"/>
      <c r="L11" s="103"/>
      <c r="M11" s="187" t="s">
        <v>70</v>
      </c>
      <c r="N11" s="209">
        <v>1764</v>
      </c>
      <c r="O11" s="209">
        <v>3380</v>
      </c>
      <c r="P11" s="209">
        <v>4025</v>
      </c>
      <c r="Q11" s="209">
        <v>4419</v>
      </c>
      <c r="R11" s="209">
        <v>4919</v>
      </c>
      <c r="S11" s="210">
        <f t="shared" ref="S11:S23" si="1">IFERROR(R11/Q11-1,"-")</f>
        <v>0.11314777098891149</v>
      </c>
      <c r="T11" s="210">
        <f>R11/R11</f>
        <v>1</v>
      </c>
    </row>
    <row r="12" spans="1:20" x14ac:dyDescent="0.25">
      <c r="B12" s="190" t="s">
        <v>99</v>
      </c>
      <c r="C12" s="191">
        <v>52542</v>
      </c>
      <c r="D12" s="191">
        <v>80120</v>
      </c>
      <c r="E12" s="191">
        <v>81068</v>
      </c>
      <c r="F12" s="191">
        <v>83091</v>
      </c>
      <c r="G12" s="191">
        <v>85859</v>
      </c>
      <c r="H12" s="191">
        <v>90398</v>
      </c>
      <c r="I12" s="192">
        <f t="shared" si="0"/>
        <v>5.28657450005241E-2</v>
      </c>
      <c r="J12" s="192">
        <f>H12/H11</f>
        <v>0.18323522734643574</v>
      </c>
      <c r="K12" s="103"/>
      <c r="L12" s="103"/>
      <c r="M12" s="190" t="s">
        <v>99</v>
      </c>
      <c r="N12" s="191">
        <v>1351</v>
      </c>
      <c r="O12" s="191">
        <v>2127</v>
      </c>
      <c r="P12" s="191">
        <v>2508</v>
      </c>
      <c r="Q12" s="191">
        <v>2825</v>
      </c>
      <c r="R12" s="191">
        <v>3162</v>
      </c>
      <c r="S12" s="192">
        <f t="shared" si="1"/>
        <v>0.11929203539823008</v>
      </c>
      <c r="T12" s="192">
        <f>R12/R11</f>
        <v>0.64281357999593414</v>
      </c>
    </row>
    <row r="13" spans="1:20" x14ac:dyDescent="0.25">
      <c r="B13" s="194" t="s">
        <v>105</v>
      </c>
      <c r="C13" s="195">
        <v>28284</v>
      </c>
      <c r="D13" s="195">
        <v>39842</v>
      </c>
      <c r="E13" s="195">
        <v>32367</v>
      </c>
      <c r="F13" s="195">
        <v>32196</v>
      </c>
      <c r="G13" s="195">
        <v>33015</v>
      </c>
      <c r="H13" s="195">
        <v>39448</v>
      </c>
      <c r="I13" s="196">
        <f t="shared" si="0"/>
        <v>0.19485082538240195</v>
      </c>
      <c r="J13" s="196">
        <f>H13/H11</f>
        <v>7.9960433287928914E-2</v>
      </c>
      <c r="K13" s="103"/>
      <c r="L13" s="103"/>
      <c r="M13" s="194" t="s">
        <v>105</v>
      </c>
      <c r="N13" s="195">
        <v>559</v>
      </c>
      <c r="O13" s="195">
        <v>1197</v>
      </c>
      <c r="P13" s="195">
        <v>1024</v>
      </c>
      <c r="Q13" s="195">
        <v>661</v>
      </c>
      <c r="R13" s="195">
        <v>965</v>
      </c>
      <c r="S13" s="196">
        <f t="shared" si="1"/>
        <v>0.45990922844175497</v>
      </c>
      <c r="T13" s="196">
        <f>R13/R11</f>
        <v>0.19617808497662126</v>
      </c>
    </row>
    <row r="14" spans="1:20" x14ac:dyDescent="0.25">
      <c r="B14" s="194" t="s">
        <v>102</v>
      </c>
      <c r="C14" s="195">
        <v>24258</v>
      </c>
      <c r="D14" s="195">
        <v>40278</v>
      </c>
      <c r="E14" s="195">
        <v>48701</v>
      </c>
      <c r="F14" s="195">
        <v>50895</v>
      </c>
      <c r="G14" s="195">
        <v>52844</v>
      </c>
      <c r="H14" s="195">
        <v>50950</v>
      </c>
      <c r="I14" s="196">
        <f t="shared" si="0"/>
        <v>-3.5841344334266889E-2</v>
      </c>
      <c r="J14" s="196">
        <f>H14/H11</f>
        <v>0.10327479405850684</v>
      </c>
      <c r="K14" s="103"/>
      <c r="L14" s="103"/>
      <c r="M14" s="194" t="s">
        <v>102</v>
      </c>
      <c r="N14" s="195">
        <v>792</v>
      </c>
      <c r="O14" s="195">
        <v>930</v>
      </c>
      <c r="P14" s="195">
        <v>1484</v>
      </c>
      <c r="Q14" s="195">
        <v>2164</v>
      </c>
      <c r="R14" s="195">
        <v>2197</v>
      </c>
      <c r="S14" s="196">
        <f t="shared" si="1"/>
        <v>1.5249537892791043E-2</v>
      </c>
      <c r="T14" s="196">
        <f>R14/R11</f>
        <v>0.44663549501931288</v>
      </c>
    </row>
    <row r="15" spans="1:20" x14ac:dyDescent="0.25">
      <c r="B15" s="190" t="s">
        <v>109</v>
      </c>
      <c r="C15" s="191">
        <v>43678</v>
      </c>
      <c r="D15" s="191">
        <v>286868</v>
      </c>
      <c r="E15" s="191">
        <v>351670</v>
      </c>
      <c r="F15" s="191">
        <v>388608</v>
      </c>
      <c r="G15" s="191">
        <v>406720</v>
      </c>
      <c r="H15" s="191">
        <v>402946</v>
      </c>
      <c r="I15" s="192">
        <f t="shared" si="0"/>
        <v>-9.2791109362706514E-3</v>
      </c>
      <c r="J15" s="192">
        <f>H15/H11</f>
        <v>0.81676477265356429</v>
      </c>
      <c r="K15" s="103"/>
      <c r="L15" s="103"/>
      <c r="M15" s="190" t="s">
        <v>109</v>
      </c>
      <c r="N15" s="191">
        <v>413</v>
      </c>
      <c r="O15" s="191">
        <v>1253</v>
      </c>
      <c r="P15" s="191">
        <v>1517</v>
      </c>
      <c r="Q15" s="191">
        <v>1594</v>
      </c>
      <c r="R15" s="191">
        <v>1757</v>
      </c>
      <c r="S15" s="192">
        <f t="shared" si="1"/>
        <v>0.10225846925972393</v>
      </c>
      <c r="T15" s="192">
        <f>R15/R11</f>
        <v>0.35718642000406586</v>
      </c>
    </row>
    <row r="16" spans="1:20" x14ac:dyDescent="0.25">
      <c r="B16" s="194" t="s">
        <v>112</v>
      </c>
      <c r="C16" s="195">
        <v>16332</v>
      </c>
      <c r="D16" s="195">
        <v>117761</v>
      </c>
      <c r="E16" s="195">
        <v>169072</v>
      </c>
      <c r="F16" s="195">
        <v>186256</v>
      </c>
      <c r="G16" s="195">
        <v>191482</v>
      </c>
      <c r="H16" s="195">
        <v>197622</v>
      </c>
      <c r="I16" s="196">
        <f t="shared" si="0"/>
        <v>3.2065677191589703E-2</v>
      </c>
      <c r="J16" s="196">
        <f>H16/H11</f>
        <v>0.40057647402218333</v>
      </c>
      <c r="K16" s="103"/>
      <c r="L16" s="103"/>
      <c r="M16" s="194" t="s">
        <v>112</v>
      </c>
      <c r="N16" s="195">
        <v>50</v>
      </c>
      <c r="O16" s="195">
        <v>163</v>
      </c>
      <c r="P16" s="195">
        <v>175</v>
      </c>
      <c r="Q16" s="195">
        <v>180</v>
      </c>
      <c r="R16" s="195">
        <v>204</v>
      </c>
      <c r="S16" s="196">
        <f t="shared" si="1"/>
        <v>0.1333333333333333</v>
      </c>
      <c r="T16" s="196">
        <f>R16/R11</f>
        <v>4.1471843870705426E-2</v>
      </c>
    </row>
    <row r="17" spans="1:20" x14ac:dyDescent="0.25">
      <c r="B17" s="194" t="s">
        <v>115</v>
      </c>
      <c r="C17" s="195">
        <v>2290</v>
      </c>
      <c r="D17" s="195">
        <v>38530</v>
      </c>
      <c r="E17" s="195">
        <v>33330</v>
      </c>
      <c r="F17" s="195">
        <v>37413</v>
      </c>
      <c r="G17" s="195">
        <v>40494</v>
      </c>
      <c r="H17" s="195">
        <v>39636</v>
      </c>
      <c r="I17" s="196">
        <f t="shared" si="0"/>
        <v>-2.1188324196177222E-2</v>
      </c>
      <c r="J17" s="196">
        <f>H17/H11</f>
        <v>8.0341506129597201E-2</v>
      </c>
      <c r="K17" s="103"/>
      <c r="L17" s="103"/>
      <c r="M17" s="194" t="s">
        <v>115</v>
      </c>
      <c r="N17" s="195">
        <v>40</v>
      </c>
      <c r="O17" s="195">
        <v>402</v>
      </c>
      <c r="P17" s="195">
        <v>318</v>
      </c>
      <c r="Q17" s="195">
        <v>304</v>
      </c>
      <c r="R17" s="195">
        <v>305</v>
      </c>
      <c r="S17" s="196">
        <f t="shared" si="1"/>
        <v>3.2894736842106198E-3</v>
      </c>
      <c r="T17" s="196">
        <f>R17/R11</f>
        <v>6.2004472453750764E-2</v>
      </c>
    </row>
    <row r="18" spans="1:20" x14ac:dyDescent="0.25">
      <c r="B18" s="194" t="s">
        <v>118</v>
      </c>
      <c r="C18" s="195">
        <v>6072</v>
      </c>
      <c r="D18" s="195">
        <v>16978</v>
      </c>
      <c r="E18" s="195">
        <v>21298</v>
      </c>
      <c r="F18" s="195">
        <v>24620</v>
      </c>
      <c r="G18" s="195">
        <v>24848</v>
      </c>
      <c r="H18" s="195">
        <v>21637</v>
      </c>
      <c r="I18" s="196">
        <f t="shared" si="0"/>
        <v>-0.12922569220862845</v>
      </c>
      <c r="J18" s="196">
        <f>H18/H11</f>
        <v>4.3857835506259324E-2</v>
      </c>
      <c r="K18" s="103"/>
      <c r="L18" s="103"/>
      <c r="M18" s="194" t="s">
        <v>118</v>
      </c>
      <c r="N18" s="195">
        <v>154</v>
      </c>
      <c r="O18" s="195">
        <v>204</v>
      </c>
      <c r="P18" s="195">
        <v>223</v>
      </c>
      <c r="Q18" s="195">
        <v>290</v>
      </c>
      <c r="R18" s="195">
        <v>286</v>
      </c>
      <c r="S18" s="196">
        <f t="shared" si="1"/>
        <v>-1.379310344827589E-2</v>
      </c>
      <c r="T18" s="196">
        <f>R18/R11</f>
        <v>5.8141898759910549E-2</v>
      </c>
    </row>
    <row r="19" spans="1:20" x14ac:dyDescent="0.25">
      <c r="B19" s="194" t="s">
        <v>125</v>
      </c>
      <c r="C19" s="195">
        <v>603</v>
      </c>
      <c r="D19" s="195">
        <v>19797</v>
      </c>
      <c r="E19" s="195">
        <v>12565</v>
      </c>
      <c r="F19" s="195">
        <v>15773</v>
      </c>
      <c r="G19" s="195">
        <v>17838</v>
      </c>
      <c r="H19" s="195">
        <v>15110</v>
      </c>
      <c r="I19" s="196">
        <f t="shared" si="0"/>
        <v>-0.152931943042942</v>
      </c>
      <c r="J19" s="196">
        <f>H19/H11</f>
        <v>3.0627716157488487E-2</v>
      </c>
      <c r="K19" s="103"/>
      <c r="L19" s="103"/>
      <c r="M19" s="194" t="s">
        <v>125</v>
      </c>
      <c r="N19" s="195">
        <v>4</v>
      </c>
      <c r="O19" s="195">
        <v>46</v>
      </c>
      <c r="P19" s="195">
        <v>72</v>
      </c>
      <c r="Q19" s="195">
        <v>65</v>
      </c>
      <c r="R19" s="195">
        <v>79</v>
      </c>
      <c r="S19" s="196">
        <f t="shared" si="1"/>
        <v>0.21538461538461529</v>
      </c>
      <c r="T19" s="196">
        <f>R19/R11</f>
        <v>1.6060174832282986E-2</v>
      </c>
    </row>
    <row r="20" spans="1:20" x14ac:dyDescent="0.25">
      <c r="B20" s="194" t="s">
        <v>121</v>
      </c>
      <c r="C20" s="195">
        <v>3408</v>
      </c>
      <c r="D20" s="195">
        <v>16131</v>
      </c>
      <c r="E20" s="195">
        <v>13398</v>
      </c>
      <c r="F20" s="195">
        <v>14601</v>
      </c>
      <c r="G20" s="195">
        <v>14325</v>
      </c>
      <c r="H20" s="195">
        <v>14249</v>
      </c>
      <c r="I20" s="196">
        <f t="shared" si="0"/>
        <v>-5.3054101221640115E-3</v>
      </c>
      <c r="J20" s="196">
        <f>H20/H11</f>
        <v>2.8882483621975742E-2</v>
      </c>
      <c r="K20" s="103"/>
      <c r="L20" s="103"/>
      <c r="M20" s="194" t="s">
        <v>121</v>
      </c>
      <c r="N20" s="195">
        <v>39</v>
      </c>
      <c r="O20" s="195">
        <v>62</v>
      </c>
      <c r="P20" s="195">
        <v>37</v>
      </c>
      <c r="Q20" s="195">
        <v>40</v>
      </c>
      <c r="R20" s="195">
        <v>57</v>
      </c>
      <c r="S20" s="196">
        <f t="shared" si="1"/>
        <v>0.42500000000000004</v>
      </c>
      <c r="T20" s="196">
        <f>R20/R11</f>
        <v>1.1587721081520634E-2</v>
      </c>
    </row>
    <row r="21" spans="1:20" x14ac:dyDescent="0.25">
      <c r="B21" s="194" t="s">
        <v>130</v>
      </c>
      <c r="C21" s="195">
        <v>68</v>
      </c>
      <c r="D21" s="195">
        <v>5501</v>
      </c>
      <c r="E21" s="195">
        <v>6474</v>
      </c>
      <c r="F21" s="195">
        <v>5463</v>
      </c>
      <c r="G21" s="195">
        <v>5053</v>
      </c>
      <c r="H21" s="195">
        <v>4908</v>
      </c>
      <c r="I21" s="196">
        <f t="shared" si="0"/>
        <v>-2.869582426281414E-2</v>
      </c>
      <c r="J21" s="196">
        <f>H21/H11</f>
        <v>9.9484335473827585E-3</v>
      </c>
      <c r="K21" s="103"/>
      <c r="L21" s="103"/>
      <c r="M21" s="194" t="s">
        <v>130</v>
      </c>
      <c r="N21" s="195">
        <v>0</v>
      </c>
      <c r="O21" s="195">
        <v>31</v>
      </c>
      <c r="P21" s="195">
        <v>14</v>
      </c>
      <c r="Q21" s="195">
        <v>6</v>
      </c>
      <c r="R21" s="195">
        <v>10</v>
      </c>
      <c r="S21" s="196">
        <f t="shared" si="1"/>
        <v>0.66666666666666674</v>
      </c>
      <c r="T21" s="196">
        <f>R21/R11</f>
        <v>2.0329335230737954E-3</v>
      </c>
    </row>
    <row r="22" spans="1:20" x14ac:dyDescent="0.25">
      <c r="A22" s="198"/>
      <c r="B22" s="194" t="s">
        <v>133</v>
      </c>
      <c r="C22" s="195">
        <v>719</v>
      </c>
      <c r="D22" s="195">
        <v>3666</v>
      </c>
      <c r="E22" s="195">
        <v>5899</v>
      </c>
      <c r="F22" s="195">
        <v>6372</v>
      </c>
      <c r="G22" s="195">
        <v>5765</v>
      </c>
      <c r="H22" s="195">
        <v>4947</v>
      </c>
      <c r="I22" s="196">
        <f t="shared" si="0"/>
        <v>-0.14189071986123158</v>
      </c>
      <c r="J22" s="196">
        <f>H22/H11</f>
        <v>1.0027485892196925E-2</v>
      </c>
      <c r="K22" s="103"/>
      <c r="L22" s="103"/>
      <c r="M22" s="194" t="s">
        <v>133</v>
      </c>
      <c r="N22" s="195">
        <v>4</v>
      </c>
      <c r="O22" s="195">
        <v>4</v>
      </c>
      <c r="P22" s="195">
        <v>11</v>
      </c>
      <c r="Q22" s="195">
        <v>16</v>
      </c>
      <c r="R22" s="195">
        <v>26</v>
      </c>
      <c r="S22" s="196">
        <f t="shared" si="1"/>
        <v>0.625</v>
      </c>
      <c r="T22" s="196">
        <f>R22/R11</f>
        <v>5.2856271599918681E-3</v>
      </c>
    </row>
    <row r="23" spans="1:20" x14ac:dyDescent="0.25">
      <c r="B23" s="199" t="s">
        <v>147</v>
      </c>
      <c r="C23" s="200">
        <f t="shared" ref="C23:H23" si="2">C15-SUM(C16:C22)</f>
        <v>14186</v>
      </c>
      <c r="D23" s="200">
        <f t="shared" si="2"/>
        <v>68504</v>
      </c>
      <c r="E23" s="200">
        <f t="shared" si="2"/>
        <v>89634</v>
      </c>
      <c r="F23" s="200">
        <f t="shared" si="2"/>
        <v>98110</v>
      </c>
      <c r="G23" s="200">
        <f t="shared" si="2"/>
        <v>106915</v>
      </c>
      <c r="H23" s="200">
        <f t="shared" si="2"/>
        <v>104837</v>
      </c>
      <c r="I23" s="201">
        <f t="shared" si="0"/>
        <v>-1.9436000561193434E-2</v>
      </c>
      <c r="J23" s="201">
        <f>H23/H11</f>
        <v>0.21250283777648052</v>
      </c>
      <c r="K23" s="202"/>
      <c r="L23" s="202"/>
      <c r="M23" s="199" t="s">
        <v>147</v>
      </c>
      <c r="N23" s="200">
        <f>N15-SUM(N16:N22)</f>
        <v>122</v>
      </c>
      <c r="O23" s="200">
        <f>O15-SUM(O16:O22)</f>
        <v>341</v>
      </c>
      <c r="P23" s="200">
        <f>P15-SUM(P16:P22)</f>
        <v>667</v>
      </c>
      <c r="Q23" s="200">
        <f>Q15-SUM(Q16:Q22)</f>
        <v>693</v>
      </c>
      <c r="R23" s="200">
        <f>R15-SUM(R16:R22)</f>
        <v>790</v>
      </c>
      <c r="S23" s="201">
        <f t="shared" si="1"/>
        <v>0.13997113997114008</v>
      </c>
      <c r="T23" s="201">
        <f>R23/R11</f>
        <v>0.16060174832282983</v>
      </c>
    </row>
    <row r="24" spans="1:20" x14ac:dyDescent="0.25">
      <c r="B24" s="186" t="s">
        <v>46</v>
      </c>
      <c r="C24" s="207"/>
      <c r="D24" s="207"/>
      <c r="E24" s="207"/>
      <c r="F24" s="207"/>
      <c r="G24" s="207"/>
      <c r="H24" s="207"/>
      <c r="I24" s="208"/>
      <c r="J24" s="208"/>
      <c r="K24" s="131"/>
      <c r="L24" s="131"/>
      <c r="M24" s="131"/>
      <c r="N24" s="131"/>
      <c r="O24" s="131"/>
      <c r="P24" s="131"/>
      <c r="Q24" s="131"/>
      <c r="R24" s="131"/>
      <c r="S24" s="131"/>
    </row>
    <row r="25" spans="1:20" x14ac:dyDescent="0.25">
      <c r="B25" s="187" t="s">
        <v>70</v>
      </c>
      <c r="C25" s="209">
        <v>29818</v>
      </c>
      <c r="D25" s="209">
        <v>139108</v>
      </c>
      <c r="E25" s="209">
        <v>159273</v>
      </c>
      <c r="F25" s="209">
        <v>172251</v>
      </c>
      <c r="G25" s="209">
        <v>172855</v>
      </c>
      <c r="H25" s="209">
        <v>169755</v>
      </c>
      <c r="I25" s="210">
        <f t="shared" ref="I25:I37" si="3">IFERROR(H25/G25-1,"-")</f>
        <v>-1.7934106621156465E-2</v>
      </c>
      <c r="J25" s="210">
        <f>H25/H25</f>
        <v>1</v>
      </c>
    </row>
    <row r="26" spans="1:20" x14ac:dyDescent="0.25">
      <c r="B26" s="190" t="s">
        <v>99</v>
      </c>
      <c r="C26" s="191">
        <v>14396</v>
      </c>
      <c r="D26" s="191">
        <v>17065</v>
      </c>
      <c r="E26" s="191">
        <v>12335</v>
      </c>
      <c r="F26" s="191">
        <v>12720</v>
      </c>
      <c r="G26" s="191">
        <v>10936</v>
      </c>
      <c r="H26" s="191">
        <v>10814</v>
      </c>
      <c r="I26" s="192">
        <f t="shared" si="3"/>
        <v>-1.1155815654718348E-2</v>
      </c>
      <c r="J26" s="192">
        <f>H26/H25</f>
        <v>6.3703572796088487E-2</v>
      </c>
    </row>
    <row r="27" spans="1:20" x14ac:dyDescent="0.25">
      <c r="B27" s="194" t="s">
        <v>105</v>
      </c>
      <c r="C27" s="195">
        <v>9332</v>
      </c>
      <c r="D27" s="195">
        <v>7482</v>
      </c>
      <c r="E27" s="195">
        <v>4173</v>
      </c>
      <c r="F27" s="195">
        <v>5156</v>
      </c>
      <c r="G27" s="195">
        <v>3957</v>
      </c>
      <c r="H27" s="195">
        <v>4941</v>
      </c>
      <c r="I27" s="196">
        <f t="shared" si="3"/>
        <v>0.24867323730098567</v>
      </c>
      <c r="J27" s="196">
        <f>H27/H25</f>
        <v>2.9106653706812761E-2</v>
      </c>
    </row>
    <row r="28" spans="1:20" x14ac:dyDescent="0.25">
      <c r="B28" s="194" t="s">
        <v>102</v>
      </c>
      <c r="C28" s="195">
        <v>5064</v>
      </c>
      <c r="D28" s="195">
        <v>9583</v>
      </c>
      <c r="E28" s="195">
        <v>8162</v>
      </c>
      <c r="F28" s="195">
        <v>7564</v>
      </c>
      <c r="G28" s="195">
        <v>6979</v>
      </c>
      <c r="H28" s="195">
        <v>5873</v>
      </c>
      <c r="I28" s="196">
        <f t="shared" si="3"/>
        <v>-0.15847542627883648</v>
      </c>
      <c r="J28" s="196">
        <f>H28/H25</f>
        <v>3.4596919089275723E-2</v>
      </c>
    </row>
    <row r="29" spans="1:20" x14ac:dyDescent="0.25">
      <c r="B29" s="190" t="s">
        <v>109</v>
      </c>
      <c r="C29" s="191">
        <v>15422</v>
      </c>
      <c r="D29" s="191">
        <v>122043</v>
      </c>
      <c r="E29" s="191">
        <v>146938</v>
      </c>
      <c r="F29" s="191">
        <v>159531</v>
      </c>
      <c r="G29" s="191">
        <v>161919</v>
      </c>
      <c r="H29" s="191">
        <v>158941</v>
      </c>
      <c r="I29" s="192">
        <f t="shared" si="3"/>
        <v>-1.8391912005385369E-2</v>
      </c>
      <c r="J29" s="192">
        <f>H29/H25</f>
        <v>0.93629642720391149</v>
      </c>
    </row>
    <row r="30" spans="1:20" x14ac:dyDescent="0.25">
      <c r="B30" s="194" t="s">
        <v>112</v>
      </c>
      <c r="C30" s="195">
        <v>6197</v>
      </c>
      <c r="D30" s="195">
        <v>53931</v>
      </c>
      <c r="E30" s="195">
        <v>77127</v>
      </c>
      <c r="F30" s="195">
        <v>84506</v>
      </c>
      <c r="G30" s="195">
        <v>86020</v>
      </c>
      <c r="H30" s="195">
        <v>88471</v>
      </c>
      <c r="I30" s="196">
        <f t="shared" si="3"/>
        <v>2.8493373634038699E-2</v>
      </c>
      <c r="J30" s="196">
        <f>H30/H25</f>
        <v>0.52116874318871309</v>
      </c>
    </row>
    <row r="31" spans="1:20" x14ac:dyDescent="0.25">
      <c r="B31" s="194" t="s">
        <v>115</v>
      </c>
      <c r="C31" s="195">
        <v>864</v>
      </c>
      <c r="D31" s="195">
        <v>18377</v>
      </c>
      <c r="E31" s="195">
        <v>15170</v>
      </c>
      <c r="F31" s="195">
        <v>16629</v>
      </c>
      <c r="G31" s="195">
        <v>17179</v>
      </c>
      <c r="H31" s="195">
        <v>15714</v>
      </c>
      <c r="I31" s="196">
        <f t="shared" si="3"/>
        <v>-8.5278537749577943E-2</v>
      </c>
      <c r="J31" s="196">
        <f>H31/H25</f>
        <v>9.2568701952814345E-2</v>
      </c>
    </row>
    <row r="32" spans="1:20" x14ac:dyDescent="0.25">
      <c r="B32" s="194" t="s">
        <v>118</v>
      </c>
      <c r="C32" s="195">
        <v>2073</v>
      </c>
      <c r="D32" s="195">
        <v>5210</v>
      </c>
      <c r="E32" s="195">
        <v>6721</v>
      </c>
      <c r="F32" s="195">
        <v>6991</v>
      </c>
      <c r="G32" s="195">
        <v>5267</v>
      </c>
      <c r="H32" s="195">
        <v>4829</v>
      </c>
      <c r="I32" s="196">
        <f t="shared" si="3"/>
        <v>-8.3159293715587612E-2</v>
      </c>
      <c r="J32" s="196">
        <f>H32/H25</f>
        <v>2.8446879326087596E-2</v>
      </c>
    </row>
    <row r="33" spans="2:10" x14ac:dyDescent="0.25">
      <c r="B33" s="194" t="s">
        <v>125</v>
      </c>
      <c r="C33" s="195">
        <v>149</v>
      </c>
      <c r="D33" s="195">
        <v>9041</v>
      </c>
      <c r="E33" s="195">
        <v>5618</v>
      </c>
      <c r="F33" s="195">
        <v>6665</v>
      </c>
      <c r="G33" s="195">
        <v>6929</v>
      </c>
      <c r="H33" s="195">
        <v>6347</v>
      </c>
      <c r="I33" s="196">
        <f t="shared" si="3"/>
        <v>-8.3994804445085891E-2</v>
      </c>
      <c r="J33" s="196">
        <f>H33/H25</f>
        <v>3.7389178521987573E-2</v>
      </c>
    </row>
    <row r="34" spans="2:10" x14ac:dyDescent="0.25">
      <c r="B34" s="194" t="s">
        <v>121</v>
      </c>
      <c r="C34" s="195">
        <v>1910</v>
      </c>
      <c r="D34" s="195">
        <v>8811</v>
      </c>
      <c r="E34" s="195">
        <v>7815</v>
      </c>
      <c r="F34" s="195">
        <v>7759</v>
      </c>
      <c r="G34" s="195">
        <v>7467</v>
      </c>
      <c r="H34" s="195">
        <v>7455</v>
      </c>
      <c r="I34" s="196">
        <f t="shared" si="3"/>
        <v>-1.6070711128967075E-3</v>
      </c>
      <c r="J34" s="196">
        <f>H34/H25</f>
        <v>4.3916232217018646E-2</v>
      </c>
    </row>
    <row r="35" spans="2:10" x14ac:dyDescent="0.25">
      <c r="B35" s="194" t="s">
        <v>130</v>
      </c>
      <c r="C35" s="195">
        <v>9</v>
      </c>
      <c r="D35" s="195">
        <v>1976</v>
      </c>
      <c r="E35" s="195">
        <v>2499</v>
      </c>
      <c r="F35" s="195">
        <v>2101</v>
      </c>
      <c r="G35" s="195">
        <v>2136</v>
      </c>
      <c r="H35" s="195">
        <v>2180</v>
      </c>
      <c r="I35" s="196">
        <f t="shared" si="3"/>
        <v>2.0599250936329527E-2</v>
      </c>
      <c r="J35" s="196">
        <f>H35/H25</f>
        <v>1.2842037053400489E-2</v>
      </c>
    </row>
    <row r="36" spans="2:10" x14ac:dyDescent="0.25">
      <c r="B36" s="194" t="s">
        <v>133</v>
      </c>
      <c r="C36" s="195">
        <v>138</v>
      </c>
      <c r="D36" s="195">
        <v>1125</v>
      </c>
      <c r="E36" s="195">
        <v>2204</v>
      </c>
      <c r="F36" s="195">
        <v>2388</v>
      </c>
      <c r="G36" s="195">
        <v>2268</v>
      </c>
      <c r="H36" s="195">
        <v>1945</v>
      </c>
      <c r="I36" s="196">
        <f t="shared" si="3"/>
        <v>-0.14241622574955903</v>
      </c>
      <c r="J36" s="196">
        <f>H36/H25</f>
        <v>1.1457689022414657E-2</v>
      </c>
    </row>
    <row r="37" spans="2:10" x14ac:dyDescent="0.25">
      <c r="B37" s="199" t="s">
        <v>147</v>
      </c>
      <c r="C37" s="200">
        <f t="shared" ref="C37:H37" si="4">C29-SUM(C30:C36)</f>
        <v>4082</v>
      </c>
      <c r="D37" s="200">
        <f t="shared" si="4"/>
        <v>23572</v>
      </c>
      <c r="E37" s="200">
        <f t="shared" si="4"/>
        <v>29784</v>
      </c>
      <c r="F37" s="200">
        <f t="shared" si="4"/>
        <v>32492</v>
      </c>
      <c r="G37" s="200">
        <f t="shared" si="4"/>
        <v>34653</v>
      </c>
      <c r="H37" s="200">
        <f t="shared" si="4"/>
        <v>32000</v>
      </c>
      <c r="I37" s="201">
        <f t="shared" si="3"/>
        <v>-7.6559028078377001E-2</v>
      </c>
      <c r="J37" s="201">
        <f>H37/H25</f>
        <v>0.18850696592147506</v>
      </c>
    </row>
    <row r="38" spans="2:10" x14ac:dyDescent="0.25">
      <c r="B38" s="186" t="s">
        <v>47</v>
      </c>
      <c r="C38" s="207"/>
      <c r="D38" s="207"/>
      <c r="E38" s="207"/>
      <c r="F38" s="207"/>
      <c r="G38" s="207"/>
      <c r="H38" s="207"/>
      <c r="I38" s="208"/>
      <c r="J38" s="208"/>
    </row>
    <row r="39" spans="2:10" x14ac:dyDescent="0.25">
      <c r="B39" s="187" t="s">
        <v>70</v>
      </c>
      <c r="C39" s="209">
        <v>21674</v>
      </c>
      <c r="D39" s="209">
        <v>89457</v>
      </c>
      <c r="E39" s="209">
        <v>113209</v>
      </c>
      <c r="F39" s="209">
        <v>119521</v>
      </c>
      <c r="G39" s="209">
        <v>125080</v>
      </c>
      <c r="H39" s="209">
        <v>130415</v>
      </c>
      <c r="I39" s="210">
        <f t="shared" ref="I39:I51" si="5">IFERROR(H39/G39-1,"-")</f>
        <v>4.2652702270546961E-2</v>
      </c>
      <c r="J39" s="210">
        <f>H39/H39</f>
        <v>1</v>
      </c>
    </row>
    <row r="40" spans="2:10" x14ac:dyDescent="0.25">
      <c r="B40" s="190" t="s">
        <v>99</v>
      </c>
      <c r="C40" s="191">
        <v>7771</v>
      </c>
      <c r="D40" s="191">
        <v>7600</v>
      </c>
      <c r="E40" s="191">
        <v>9548</v>
      </c>
      <c r="F40" s="191">
        <v>10093</v>
      </c>
      <c r="G40" s="191">
        <v>9833</v>
      </c>
      <c r="H40" s="191">
        <v>10585</v>
      </c>
      <c r="I40" s="192">
        <f t="shared" si="5"/>
        <v>7.6477168717583588E-2</v>
      </c>
      <c r="J40" s="192">
        <f>H40/H39</f>
        <v>8.1163976536441362E-2</v>
      </c>
    </row>
    <row r="41" spans="2:10" x14ac:dyDescent="0.25">
      <c r="B41" s="194" t="s">
        <v>105</v>
      </c>
      <c r="C41" s="195">
        <v>4409</v>
      </c>
      <c r="D41" s="195">
        <v>2857</v>
      </c>
      <c r="E41" s="195">
        <v>3029</v>
      </c>
      <c r="F41" s="195">
        <v>4345</v>
      </c>
      <c r="G41" s="195">
        <v>4003</v>
      </c>
      <c r="H41" s="195">
        <v>4792</v>
      </c>
      <c r="I41" s="196">
        <f t="shared" si="5"/>
        <v>0.19710217336997249</v>
      </c>
      <c r="J41" s="196">
        <f>H41/H39</f>
        <v>3.6744239542997353E-2</v>
      </c>
    </row>
    <row r="42" spans="2:10" x14ac:dyDescent="0.25">
      <c r="B42" s="194" t="s">
        <v>102</v>
      </c>
      <c r="C42" s="195">
        <v>3362</v>
      </c>
      <c r="D42" s="195">
        <v>4743</v>
      </c>
      <c r="E42" s="195">
        <v>6519</v>
      </c>
      <c r="F42" s="195">
        <v>5748</v>
      </c>
      <c r="G42" s="195">
        <v>5830</v>
      </c>
      <c r="H42" s="195">
        <v>5793</v>
      </c>
      <c r="I42" s="196">
        <f t="shared" si="5"/>
        <v>-6.3464837049742595E-3</v>
      </c>
      <c r="J42" s="196">
        <f>H42/H39</f>
        <v>4.4419736993444009E-2</v>
      </c>
    </row>
    <row r="43" spans="2:10" x14ac:dyDescent="0.25">
      <c r="B43" s="190" t="s">
        <v>109</v>
      </c>
      <c r="C43" s="191">
        <v>13903</v>
      </c>
      <c r="D43" s="191">
        <v>81857</v>
      </c>
      <c r="E43" s="191">
        <v>103661</v>
      </c>
      <c r="F43" s="191">
        <v>109428</v>
      </c>
      <c r="G43" s="191">
        <v>115247</v>
      </c>
      <c r="H43" s="191">
        <v>119830</v>
      </c>
      <c r="I43" s="192">
        <f t="shared" si="5"/>
        <v>3.9766761824602703E-2</v>
      </c>
      <c r="J43" s="192">
        <f>H43/H39</f>
        <v>0.91883602346355864</v>
      </c>
    </row>
    <row r="44" spans="2:10" x14ac:dyDescent="0.25">
      <c r="B44" s="194" t="s">
        <v>112</v>
      </c>
      <c r="C44" s="195">
        <v>6516</v>
      </c>
      <c r="D44" s="195">
        <v>38448</v>
      </c>
      <c r="E44" s="195">
        <v>56132</v>
      </c>
      <c r="F44" s="195">
        <v>59055</v>
      </c>
      <c r="G44" s="195">
        <v>62174</v>
      </c>
      <c r="H44" s="195">
        <v>65216</v>
      </c>
      <c r="I44" s="196">
        <f t="shared" si="5"/>
        <v>4.8927204297616322E-2</v>
      </c>
      <c r="J44" s="196">
        <f>H44/H39</f>
        <v>0.50006517655177707</v>
      </c>
    </row>
    <row r="45" spans="2:10" x14ac:dyDescent="0.25">
      <c r="B45" s="194" t="s">
        <v>115</v>
      </c>
      <c r="C45" s="195">
        <v>347</v>
      </c>
      <c r="D45" s="195">
        <v>3944</v>
      </c>
      <c r="E45" s="195">
        <v>3276</v>
      </c>
      <c r="F45" s="195">
        <v>3785</v>
      </c>
      <c r="G45" s="195">
        <v>4043</v>
      </c>
      <c r="H45" s="195">
        <v>4633</v>
      </c>
      <c r="I45" s="196">
        <f t="shared" si="5"/>
        <v>0.14593123917882767</v>
      </c>
      <c r="J45" s="196">
        <f>H45/H39</f>
        <v>3.5525054633286049E-2</v>
      </c>
    </row>
    <row r="46" spans="2:10" x14ac:dyDescent="0.25">
      <c r="B46" s="194" t="s">
        <v>118</v>
      </c>
      <c r="C46" s="195">
        <v>1343</v>
      </c>
      <c r="D46" s="195">
        <v>2655</v>
      </c>
      <c r="E46" s="195">
        <v>2789</v>
      </c>
      <c r="F46" s="195">
        <v>2829</v>
      </c>
      <c r="G46" s="195">
        <v>2728</v>
      </c>
      <c r="H46" s="195">
        <v>3032</v>
      </c>
      <c r="I46" s="196">
        <f t="shared" si="5"/>
        <v>0.11143695014662747</v>
      </c>
      <c r="J46" s="196">
        <f>H46/H39</f>
        <v>2.3248859410343901E-2</v>
      </c>
    </row>
    <row r="47" spans="2:10" x14ac:dyDescent="0.25">
      <c r="B47" s="194" t="s">
        <v>125</v>
      </c>
      <c r="C47" s="195">
        <v>293</v>
      </c>
      <c r="D47" s="195">
        <v>6416</v>
      </c>
      <c r="E47" s="195">
        <v>4122</v>
      </c>
      <c r="F47" s="195">
        <v>5150</v>
      </c>
      <c r="G47" s="195">
        <v>5940</v>
      </c>
      <c r="H47" s="195">
        <v>4897</v>
      </c>
      <c r="I47" s="196">
        <f t="shared" si="5"/>
        <v>-0.17558922558922563</v>
      </c>
      <c r="J47" s="196">
        <f>H47/H39</f>
        <v>3.7549361653184066E-2</v>
      </c>
    </row>
    <row r="48" spans="2:10" x14ac:dyDescent="0.25">
      <c r="B48" s="194" t="s">
        <v>121</v>
      </c>
      <c r="C48" s="195">
        <v>848</v>
      </c>
      <c r="D48" s="195">
        <v>4609</v>
      </c>
      <c r="E48" s="195">
        <v>3802</v>
      </c>
      <c r="F48" s="195">
        <v>4250</v>
      </c>
      <c r="G48" s="195">
        <v>3949</v>
      </c>
      <c r="H48" s="195">
        <v>3943</v>
      </c>
      <c r="I48" s="196">
        <f t="shared" si="5"/>
        <v>-1.519371992909635E-3</v>
      </c>
      <c r="J48" s="196">
        <f>H48/H39</f>
        <v>3.0234252194916229E-2</v>
      </c>
    </row>
    <row r="49" spans="2:10" x14ac:dyDescent="0.25">
      <c r="B49" s="194" t="s">
        <v>130</v>
      </c>
      <c r="C49" s="195">
        <v>34</v>
      </c>
      <c r="D49" s="195">
        <v>2369</v>
      </c>
      <c r="E49" s="195">
        <v>2110</v>
      </c>
      <c r="F49" s="195">
        <v>2081</v>
      </c>
      <c r="G49" s="195">
        <v>1650</v>
      </c>
      <c r="H49" s="195">
        <v>1715</v>
      </c>
      <c r="I49" s="196">
        <f t="shared" si="5"/>
        <v>3.9393939393939315E-2</v>
      </c>
      <c r="J49" s="196">
        <f>H49/H39</f>
        <v>1.315032779971629E-2</v>
      </c>
    </row>
    <row r="50" spans="2:10" x14ac:dyDescent="0.25">
      <c r="B50" s="194" t="s">
        <v>133</v>
      </c>
      <c r="C50" s="195">
        <v>360</v>
      </c>
      <c r="D50" s="195">
        <v>1724</v>
      </c>
      <c r="E50" s="195">
        <v>2278</v>
      </c>
      <c r="F50" s="195">
        <v>2548</v>
      </c>
      <c r="G50" s="195">
        <v>2132</v>
      </c>
      <c r="H50" s="195">
        <v>1810</v>
      </c>
      <c r="I50" s="196">
        <f t="shared" si="5"/>
        <v>-0.151031894934334</v>
      </c>
      <c r="J50" s="196">
        <f>H50/H39</f>
        <v>1.3878771613694744E-2</v>
      </c>
    </row>
    <row r="51" spans="2:10" x14ac:dyDescent="0.25">
      <c r="B51" s="199" t="s">
        <v>147</v>
      </c>
      <c r="C51" s="200">
        <f t="shared" ref="C51:H51" si="6">C43-SUM(C44:C50)</f>
        <v>4162</v>
      </c>
      <c r="D51" s="200">
        <f t="shared" si="6"/>
        <v>21692</v>
      </c>
      <c r="E51" s="200">
        <f t="shared" si="6"/>
        <v>29152</v>
      </c>
      <c r="F51" s="200">
        <f t="shared" si="6"/>
        <v>29730</v>
      </c>
      <c r="G51" s="200">
        <f t="shared" si="6"/>
        <v>32631</v>
      </c>
      <c r="H51" s="200">
        <f t="shared" si="6"/>
        <v>34584</v>
      </c>
      <c r="I51" s="201">
        <f t="shared" si="5"/>
        <v>5.9851061873678502E-2</v>
      </c>
      <c r="J51" s="201">
        <f>H51/H39</f>
        <v>0.26518421960664035</v>
      </c>
    </row>
    <row r="52" spans="2:10" x14ac:dyDescent="0.25">
      <c r="B52" s="186" t="s">
        <v>48</v>
      </c>
      <c r="C52" s="207"/>
      <c r="D52" s="207"/>
      <c r="E52" s="207"/>
      <c r="F52" s="207"/>
      <c r="G52" s="207"/>
      <c r="H52" s="207"/>
      <c r="I52" s="208"/>
      <c r="J52" s="208"/>
    </row>
    <row r="53" spans="2:10" x14ac:dyDescent="0.25">
      <c r="B53" s="187" t="s">
        <v>70</v>
      </c>
      <c r="C53" s="209">
        <v>283</v>
      </c>
      <c r="D53" s="209">
        <v>3184</v>
      </c>
      <c r="E53" s="209">
        <v>3407</v>
      </c>
      <c r="F53" s="209">
        <v>4248</v>
      </c>
      <c r="G53" s="209">
        <v>3960</v>
      </c>
      <c r="H53" s="209">
        <v>4094</v>
      </c>
      <c r="I53" s="210">
        <f t="shared" ref="I53:I65" si="7">IFERROR(H53/G53-1,"-")</f>
        <v>3.3838383838383779E-2</v>
      </c>
      <c r="J53" s="210">
        <f>H53/H53</f>
        <v>1</v>
      </c>
    </row>
    <row r="54" spans="2:10" x14ac:dyDescent="0.25">
      <c r="B54" s="190" t="s">
        <v>99</v>
      </c>
      <c r="C54" s="191">
        <v>115</v>
      </c>
      <c r="D54" s="191">
        <v>622</v>
      </c>
      <c r="E54" s="191">
        <v>628</v>
      </c>
      <c r="F54" s="191">
        <v>1095</v>
      </c>
      <c r="G54" s="191">
        <v>1069</v>
      </c>
      <c r="H54" s="191">
        <v>1129</v>
      </c>
      <c r="I54" s="192">
        <f t="shared" si="7"/>
        <v>5.6127221702525709E-2</v>
      </c>
      <c r="J54" s="192">
        <f>H54/H53</f>
        <v>0.27576941866145577</v>
      </c>
    </row>
    <row r="55" spans="2:10" x14ac:dyDescent="0.25">
      <c r="B55" s="194" t="s">
        <v>105</v>
      </c>
      <c r="C55" s="195">
        <v>89</v>
      </c>
      <c r="D55" s="195">
        <v>341</v>
      </c>
      <c r="E55" s="195">
        <v>404</v>
      </c>
      <c r="F55" s="195">
        <v>639</v>
      </c>
      <c r="G55" s="195">
        <v>774</v>
      </c>
      <c r="H55" s="195">
        <v>614</v>
      </c>
      <c r="I55" s="196">
        <f t="shared" si="7"/>
        <v>-0.20671834625322993</v>
      </c>
      <c r="J55" s="196">
        <f>H55/H53</f>
        <v>0.14997557401074743</v>
      </c>
    </row>
    <row r="56" spans="2:10" x14ac:dyDescent="0.25">
      <c r="B56" s="194" t="s">
        <v>102</v>
      </c>
      <c r="C56" s="195">
        <v>26</v>
      </c>
      <c r="D56" s="195">
        <v>281</v>
      </c>
      <c r="E56" s="195">
        <v>224</v>
      </c>
      <c r="F56" s="195">
        <v>456</v>
      </c>
      <c r="G56" s="195">
        <v>295</v>
      </c>
      <c r="H56" s="195">
        <v>515</v>
      </c>
      <c r="I56" s="196">
        <f t="shared" si="7"/>
        <v>0.74576271186440679</v>
      </c>
      <c r="J56" s="196">
        <f>H56/H53</f>
        <v>0.12579384465070836</v>
      </c>
    </row>
    <row r="57" spans="2:10" x14ac:dyDescent="0.25">
      <c r="B57" s="190" t="s">
        <v>109</v>
      </c>
      <c r="C57" s="191">
        <v>168</v>
      </c>
      <c r="D57" s="191">
        <v>2562</v>
      </c>
      <c r="E57" s="191">
        <v>2779</v>
      </c>
      <c r="F57" s="191">
        <v>3153</v>
      </c>
      <c r="G57" s="191">
        <v>2891</v>
      </c>
      <c r="H57" s="191">
        <v>2965</v>
      </c>
      <c r="I57" s="192">
        <f t="shared" si="7"/>
        <v>2.5596679349705997E-2</v>
      </c>
      <c r="J57" s="192">
        <f>H57/H53</f>
        <v>0.72423058133854423</v>
      </c>
    </row>
    <row r="58" spans="2:10" x14ac:dyDescent="0.25">
      <c r="B58" s="194" t="s">
        <v>112</v>
      </c>
      <c r="C58" s="195">
        <v>17</v>
      </c>
      <c r="D58" s="195">
        <v>759</v>
      </c>
      <c r="E58" s="195">
        <v>923</v>
      </c>
      <c r="F58" s="195">
        <v>813</v>
      </c>
      <c r="G58" s="195">
        <v>944</v>
      </c>
      <c r="H58" s="195">
        <v>983</v>
      </c>
      <c r="I58" s="196">
        <f t="shared" si="7"/>
        <v>4.1313559322033955E-2</v>
      </c>
      <c r="J58" s="196">
        <f>H58/H53</f>
        <v>0.24010747435271129</v>
      </c>
    </row>
    <row r="59" spans="2:10" x14ac:dyDescent="0.25">
      <c r="B59" s="194" t="s">
        <v>115</v>
      </c>
      <c r="C59" s="195">
        <v>52</v>
      </c>
      <c r="D59" s="195">
        <v>712</v>
      </c>
      <c r="E59" s="195">
        <v>557</v>
      </c>
      <c r="F59" s="195">
        <v>635</v>
      </c>
      <c r="G59" s="195">
        <v>563</v>
      </c>
      <c r="H59" s="195">
        <v>645</v>
      </c>
      <c r="I59" s="196">
        <f t="shared" si="7"/>
        <v>0.14564831261101241</v>
      </c>
      <c r="J59" s="196">
        <f>H59/H53</f>
        <v>0.15754763067904251</v>
      </c>
    </row>
    <row r="60" spans="2:10" x14ac:dyDescent="0.25">
      <c r="B60" s="194" t="s">
        <v>118</v>
      </c>
      <c r="C60" s="195">
        <v>8</v>
      </c>
      <c r="D60" s="195">
        <v>349</v>
      </c>
      <c r="E60" s="195">
        <v>306</v>
      </c>
      <c r="F60" s="195">
        <v>295</v>
      </c>
      <c r="G60" s="195">
        <v>240</v>
      </c>
      <c r="H60" s="195">
        <v>243</v>
      </c>
      <c r="I60" s="196">
        <f t="shared" si="7"/>
        <v>1.2499999999999956E-2</v>
      </c>
      <c r="J60" s="196">
        <f>H60/H53</f>
        <v>5.935515388373229E-2</v>
      </c>
    </row>
    <row r="61" spans="2:10" x14ac:dyDescent="0.25">
      <c r="B61" s="194" t="s">
        <v>125</v>
      </c>
      <c r="C61" s="195">
        <v>4</v>
      </c>
      <c r="D61" s="195">
        <v>55</v>
      </c>
      <c r="E61" s="195">
        <v>106</v>
      </c>
      <c r="F61" s="195">
        <v>135</v>
      </c>
      <c r="G61" s="195">
        <v>99</v>
      </c>
      <c r="H61" s="195">
        <v>96</v>
      </c>
      <c r="I61" s="196">
        <f t="shared" si="7"/>
        <v>-3.0303030303030276E-2</v>
      </c>
      <c r="J61" s="196">
        <f>H61/H53</f>
        <v>2.3448949682462139E-2</v>
      </c>
    </row>
    <row r="62" spans="2:10" x14ac:dyDescent="0.25">
      <c r="B62" s="194" t="s">
        <v>121</v>
      </c>
      <c r="C62" s="195">
        <v>4</v>
      </c>
      <c r="D62" s="195">
        <v>71</v>
      </c>
      <c r="E62" s="195">
        <v>12</v>
      </c>
      <c r="F62" s="195">
        <v>75</v>
      </c>
      <c r="G62" s="195">
        <v>87</v>
      </c>
      <c r="H62" s="195">
        <v>66</v>
      </c>
      <c r="I62" s="196">
        <f t="shared" si="7"/>
        <v>-0.24137931034482762</v>
      </c>
      <c r="J62" s="196">
        <f>H62/H53</f>
        <v>1.6121152906692721E-2</v>
      </c>
    </row>
    <row r="63" spans="2:10" x14ac:dyDescent="0.25">
      <c r="B63" s="194" t="s">
        <v>130</v>
      </c>
      <c r="C63" s="195">
        <v>0</v>
      </c>
      <c r="D63" s="195">
        <v>5</v>
      </c>
      <c r="E63" s="195">
        <v>8</v>
      </c>
      <c r="F63" s="195">
        <v>17</v>
      </c>
      <c r="G63" s="195">
        <v>2</v>
      </c>
      <c r="H63" s="195">
        <v>6</v>
      </c>
      <c r="I63" s="196">
        <f t="shared" si="7"/>
        <v>2</v>
      </c>
      <c r="J63" s="196">
        <f>H63/H53</f>
        <v>1.4655593551538837E-3</v>
      </c>
    </row>
    <row r="64" spans="2:10" x14ac:dyDescent="0.25">
      <c r="B64" s="194" t="s">
        <v>133</v>
      </c>
      <c r="C64" s="195">
        <v>6</v>
      </c>
      <c r="D64" s="195">
        <v>19</v>
      </c>
      <c r="E64" s="195">
        <v>13</v>
      </c>
      <c r="F64" s="195">
        <v>16</v>
      </c>
      <c r="G64" s="195">
        <v>8</v>
      </c>
      <c r="H64" s="195">
        <v>18</v>
      </c>
      <c r="I64" s="196">
        <f t="shared" si="7"/>
        <v>1.25</v>
      </c>
      <c r="J64" s="196">
        <f>H64/H53</f>
        <v>4.3966780654616511E-3</v>
      </c>
    </row>
    <row r="65" spans="2:10" x14ac:dyDescent="0.25">
      <c r="B65" s="199" t="s">
        <v>147</v>
      </c>
      <c r="C65" s="200">
        <f t="shared" ref="C65:H65" si="8">C57-SUM(C58:C64)</f>
        <v>77</v>
      </c>
      <c r="D65" s="200">
        <f t="shared" si="8"/>
        <v>592</v>
      </c>
      <c r="E65" s="200">
        <f t="shared" si="8"/>
        <v>854</v>
      </c>
      <c r="F65" s="200">
        <f t="shared" si="8"/>
        <v>1167</v>
      </c>
      <c r="G65" s="200">
        <f t="shared" si="8"/>
        <v>948</v>
      </c>
      <c r="H65" s="200">
        <f t="shared" si="8"/>
        <v>908</v>
      </c>
      <c r="I65" s="201">
        <f t="shared" si="7"/>
        <v>-4.2194092827004259E-2</v>
      </c>
      <c r="J65" s="201">
        <f>H65/H53</f>
        <v>0.22178798241328773</v>
      </c>
    </row>
    <row r="66" spans="2:10" x14ac:dyDescent="0.25">
      <c r="B66" s="186" t="s">
        <v>49</v>
      </c>
      <c r="C66" s="207"/>
      <c r="D66" s="207"/>
      <c r="E66" s="207"/>
      <c r="F66" s="207"/>
      <c r="G66" s="207"/>
      <c r="H66" s="207"/>
      <c r="I66" s="208"/>
      <c r="J66" s="208"/>
    </row>
    <row r="67" spans="2:10" x14ac:dyDescent="0.25">
      <c r="B67" s="187" t="s">
        <v>70</v>
      </c>
      <c r="C67" s="209">
        <v>4583</v>
      </c>
      <c r="D67" s="209">
        <v>13659</v>
      </c>
      <c r="E67" s="209">
        <v>14777</v>
      </c>
      <c r="F67" s="209">
        <v>17351</v>
      </c>
      <c r="G67" s="209">
        <v>24595</v>
      </c>
      <c r="H67" s="209">
        <v>16756</v>
      </c>
      <c r="I67" s="210">
        <f t="shared" ref="I67:I79" si="9">IFERROR(H67/G67-1,"-")</f>
        <v>-0.31872331774750962</v>
      </c>
      <c r="J67" s="210">
        <f>H67/H67</f>
        <v>1</v>
      </c>
    </row>
    <row r="68" spans="2:10" x14ac:dyDescent="0.25">
      <c r="B68" s="190" t="s">
        <v>99</v>
      </c>
      <c r="C68" s="191">
        <v>3209</v>
      </c>
      <c r="D68" s="191">
        <v>4569</v>
      </c>
      <c r="E68" s="191">
        <v>1219</v>
      </c>
      <c r="F68" s="191">
        <v>1615</v>
      </c>
      <c r="G68" s="191">
        <v>4829</v>
      </c>
      <c r="H68" s="191">
        <v>3311</v>
      </c>
      <c r="I68" s="192">
        <f t="shared" si="9"/>
        <v>-0.31435079726651483</v>
      </c>
      <c r="J68" s="192">
        <f>H68/H67</f>
        <v>0.19760085939365005</v>
      </c>
    </row>
    <row r="69" spans="2:10" x14ac:dyDescent="0.25">
      <c r="B69" s="194" t="s">
        <v>105</v>
      </c>
      <c r="C69" s="195">
        <v>1117</v>
      </c>
      <c r="D69" s="195">
        <v>3622</v>
      </c>
      <c r="E69" s="195">
        <v>315</v>
      </c>
      <c r="F69" s="195">
        <v>115</v>
      </c>
      <c r="G69" s="195">
        <v>2932</v>
      </c>
      <c r="H69" s="195">
        <v>1422</v>
      </c>
      <c r="I69" s="196">
        <f t="shared" si="9"/>
        <v>-0.51500682128240105</v>
      </c>
      <c r="J69" s="196">
        <f>H69/H67</f>
        <v>8.4865122941036042E-2</v>
      </c>
    </row>
    <row r="70" spans="2:10" x14ac:dyDescent="0.25">
      <c r="B70" s="194" t="s">
        <v>102</v>
      </c>
      <c r="C70" s="195">
        <v>2092</v>
      </c>
      <c r="D70" s="195">
        <v>947</v>
      </c>
      <c r="E70" s="195">
        <v>904</v>
      </c>
      <c r="F70" s="195">
        <v>1500</v>
      </c>
      <c r="G70" s="195">
        <v>1897</v>
      </c>
      <c r="H70" s="195">
        <v>1889</v>
      </c>
      <c r="I70" s="196">
        <f t="shared" si="9"/>
        <v>-4.2171850289931534E-3</v>
      </c>
      <c r="J70" s="196">
        <f>H70/H67</f>
        <v>0.11273573645261399</v>
      </c>
    </row>
    <row r="71" spans="2:10" x14ac:dyDescent="0.25">
      <c r="B71" s="190" t="s">
        <v>109</v>
      </c>
      <c r="C71" s="191">
        <v>1374</v>
      </c>
      <c r="D71" s="191">
        <v>9090</v>
      </c>
      <c r="E71" s="191">
        <v>13558</v>
      </c>
      <c r="F71" s="191">
        <v>15736</v>
      </c>
      <c r="G71" s="191">
        <v>19766</v>
      </c>
      <c r="H71" s="191">
        <v>13445</v>
      </c>
      <c r="I71" s="192">
        <f t="shared" si="9"/>
        <v>-0.31979156126682184</v>
      </c>
      <c r="J71" s="192">
        <f>H71/H67</f>
        <v>0.80239914060634998</v>
      </c>
    </row>
    <row r="72" spans="2:10" x14ac:dyDescent="0.25">
      <c r="B72" s="194" t="s">
        <v>112</v>
      </c>
      <c r="C72" s="195">
        <v>536</v>
      </c>
      <c r="D72" s="195">
        <v>4604</v>
      </c>
      <c r="E72" s="195">
        <v>5657</v>
      </c>
      <c r="F72" s="195">
        <v>4444</v>
      </c>
      <c r="G72" s="195">
        <v>7529</v>
      </c>
      <c r="H72" s="195">
        <v>7056</v>
      </c>
      <c r="I72" s="196">
        <f t="shared" si="9"/>
        <v>-6.2823748173728267E-2</v>
      </c>
      <c r="J72" s="196">
        <f>H72/H67</f>
        <v>0.42110288851754596</v>
      </c>
    </row>
    <row r="73" spans="2:10" x14ac:dyDescent="0.25">
      <c r="B73" s="194" t="s">
        <v>115</v>
      </c>
      <c r="C73" s="195">
        <v>110</v>
      </c>
      <c r="D73" s="195">
        <v>972</v>
      </c>
      <c r="E73" s="195">
        <v>387</v>
      </c>
      <c r="F73" s="195">
        <v>770</v>
      </c>
      <c r="G73" s="195">
        <v>1083</v>
      </c>
      <c r="H73" s="195">
        <v>1014</v>
      </c>
      <c r="I73" s="196">
        <f t="shared" si="9"/>
        <v>-6.3711911357340667E-2</v>
      </c>
      <c r="J73" s="196">
        <f>H73/H67</f>
        <v>6.0515636190021482E-2</v>
      </c>
    </row>
    <row r="74" spans="2:10" x14ac:dyDescent="0.25">
      <c r="B74" s="194" t="s">
        <v>118</v>
      </c>
      <c r="C74" s="195">
        <v>209</v>
      </c>
      <c r="D74" s="195">
        <v>891</v>
      </c>
      <c r="E74" s="195">
        <v>3323</v>
      </c>
      <c r="F74" s="195">
        <v>4164</v>
      </c>
      <c r="G74" s="195">
        <v>3943</v>
      </c>
      <c r="H74" s="195">
        <v>938</v>
      </c>
      <c r="I74" s="196">
        <f t="shared" si="9"/>
        <v>-0.76211006847577989</v>
      </c>
      <c r="J74" s="196">
        <f>H74/H67</f>
        <v>5.5979947481499162E-2</v>
      </c>
    </row>
    <row r="75" spans="2:10" x14ac:dyDescent="0.25">
      <c r="B75" s="194" t="s">
        <v>125</v>
      </c>
      <c r="C75" s="195">
        <v>7</v>
      </c>
      <c r="D75" s="195">
        <v>960</v>
      </c>
      <c r="E75" s="195">
        <v>268</v>
      </c>
      <c r="F75" s="195">
        <v>406</v>
      </c>
      <c r="G75" s="195">
        <v>867</v>
      </c>
      <c r="H75" s="195">
        <v>521</v>
      </c>
      <c r="I75" s="196">
        <f t="shared" si="9"/>
        <v>-0.39907727797001158</v>
      </c>
      <c r="J75" s="196">
        <f>H75/H67</f>
        <v>3.1093339699212224E-2</v>
      </c>
    </row>
    <row r="76" spans="2:10" x14ac:dyDescent="0.25">
      <c r="B76" s="194" t="s">
        <v>121</v>
      </c>
      <c r="C76" s="195">
        <v>110</v>
      </c>
      <c r="D76" s="195">
        <v>254</v>
      </c>
      <c r="E76" s="195">
        <v>197</v>
      </c>
      <c r="F76" s="195">
        <v>281</v>
      </c>
      <c r="G76" s="195">
        <v>513</v>
      </c>
      <c r="H76" s="195">
        <v>314</v>
      </c>
      <c r="I76" s="196">
        <f t="shared" si="9"/>
        <v>-0.38791423001949321</v>
      </c>
      <c r="J76" s="196">
        <f>H76/H67</f>
        <v>1.8739555979947482E-2</v>
      </c>
    </row>
    <row r="77" spans="2:10" x14ac:dyDescent="0.25">
      <c r="B77" s="194" t="s">
        <v>130</v>
      </c>
      <c r="C77" s="195">
        <v>2</v>
      </c>
      <c r="D77" s="195">
        <v>106</v>
      </c>
      <c r="E77" s="195">
        <v>350</v>
      </c>
      <c r="F77" s="195">
        <v>284</v>
      </c>
      <c r="G77" s="195">
        <v>249</v>
      </c>
      <c r="H77" s="195">
        <v>80</v>
      </c>
      <c r="I77" s="196">
        <f t="shared" si="9"/>
        <v>-0.67871485943775101</v>
      </c>
      <c r="J77" s="196">
        <f>H77/H67</f>
        <v>4.7744091668656006E-3</v>
      </c>
    </row>
    <row r="78" spans="2:10" x14ac:dyDescent="0.25">
      <c r="B78" s="194" t="s">
        <v>133</v>
      </c>
      <c r="C78" s="195">
        <v>74</v>
      </c>
      <c r="D78" s="195">
        <v>52</v>
      </c>
      <c r="E78" s="195">
        <v>42</v>
      </c>
      <c r="F78" s="195">
        <v>95</v>
      </c>
      <c r="G78" s="195">
        <v>140</v>
      </c>
      <c r="H78" s="195">
        <v>207</v>
      </c>
      <c r="I78" s="196">
        <f t="shared" si="9"/>
        <v>0.47857142857142865</v>
      </c>
      <c r="J78" s="196">
        <f>H78/H67</f>
        <v>1.2353783719264742E-2</v>
      </c>
    </row>
    <row r="79" spans="2:10" x14ac:dyDescent="0.25">
      <c r="B79" s="199" t="s">
        <v>147</v>
      </c>
      <c r="C79" s="200">
        <f t="shared" ref="C79:H79" si="10">C71-SUM(C72:C78)</f>
        <v>326</v>
      </c>
      <c r="D79" s="200">
        <f t="shared" si="10"/>
        <v>1251</v>
      </c>
      <c r="E79" s="200">
        <f t="shared" si="10"/>
        <v>3334</v>
      </c>
      <c r="F79" s="200">
        <f t="shared" si="10"/>
        <v>5292</v>
      </c>
      <c r="G79" s="200">
        <f t="shared" si="10"/>
        <v>5442</v>
      </c>
      <c r="H79" s="200">
        <f t="shared" si="10"/>
        <v>3315</v>
      </c>
      <c r="I79" s="201">
        <f t="shared" si="9"/>
        <v>-0.3908489525909592</v>
      </c>
      <c r="J79" s="201">
        <f>H79/H67</f>
        <v>0.19783957985199332</v>
      </c>
    </row>
    <row r="80" spans="2:10" x14ac:dyDescent="0.25">
      <c r="B80" s="186" t="s">
        <v>50</v>
      </c>
      <c r="C80" s="207"/>
      <c r="D80" s="207"/>
      <c r="E80" s="207"/>
      <c r="F80" s="207"/>
      <c r="G80" s="207"/>
      <c r="H80" s="207"/>
      <c r="I80" s="208"/>
      <c r="J80" s="208"/>
    </row>
    <row r="81" spans="2:10" x14ac:dyDescent="0.25">
      <c r="B81" s="187" t="s">
        <v>70</v>
      </c>
      <c r="C81" s="209">
        <v>14861</v>
      </c>
      <c r="D81" s="209">
        <v>52374</v>
      </c>
      <c r="E81" s="209">
        <v>64171</v>
      </c>
      <c r="F81" s="209">
        <v>70925</v>
      </c>
      <c r="G81" s="209">
        <v>81853</v>
      </c>
      <c r="H81" s="209">
        <v>83480</v>
      </c>
      <c r="I81" s="210">
        <f t="shared" ref="I81:I93" si="11">IFERROR(H81/G81-1,"-")</f>
        <v>1.9877096746606648E-2</v>
      </c>
      <c r="J81" s="210">
        <f>H81/H81</f>
        <v>1</v>
      </c>
    </row>
    <row r="82" spans="2:10" x14ac:dyDescent="0.25">
      <c r="B82" s="190" t="s">
        <v>99</v>
      </c>
      <c r="C82" s="191">
        <v>10718</v>
      </c>
      <c r="D82" s="191">
        <v>24336</v>
      </c>
      <c r="E82" s="191">
        <v>30437</v>
      </c>
      <c r="F82" s="191">
        <v>27145</v>
      </c>
      <c r="G82" s="191">
        <v>30970</v>
      </c>
      <c r="H82" s="191">
        <v>32143</v>
      </c>
      <c r="I82" s="192">
        <f t="shared" si="11"/>
        <v>3.7875363254762595E-2</v>
      </c>
      <c r="J82" s="192">
        <f>H82/H81</f>
        <v>0.38503833253473885</v>
      </c>
    </row>
    <row r="83" spans="2:10" x14ac:dyDescent="0.25">
      <c r="B83" s="194" t="s">
        <v>105</v>
      </c>
      <c r="C83" s="195">
        <v>4435</v>
      </c>
      <c r="D83" s="195">
        <v>10059</v>
      </c>
      <c r="E83" s="195">
        <v>10465</v>
      </c>
      <c r="F83" s="195">
        <v>6656</v>
      </c>
      <c r="G83" s="195">
        <v>8034</v>
      </c>
      <c r="H83" s="195">
        <v>10238</v>
      </c>
      <c r="I83" s="196">
        <f t="shared" si="11"/>
        <v>0.27433408015932281</v>
      </c>
      <c r="J83" s="196">
        <f>H83/H81</f>
        <v>0.12264015333013896</v>
      </c>
    </row>
    <row r="84" spans="2:10" x14ac:dyDescent="0.25">
      <c r="B84" s="194" t="s">
        <v>102</v>
      </c>
      <c r="C84" s="195">
        <v>6283</v>
      </c>
      <c r="D84" s="195">
        <v>14277</v>
      </c>
      <c r="E84" s="195">
        <v>19972</v>
      </c>
      <c r="F84" s="195">
        <v>20489</v>
      </c>
      <c r="G84" s="195">
        <v>22936</v>
      </c>
      <c r="H84" s="195">
        <v>21905</v>
      </c>
      <c r="I84" s="196">
        <f t="shared" si="11"/>
        <v>-4.4951168468782665E-2</v>
      </c>
      <c r="J84" s="196">
        <f>H84/H81</f>
        <v>0.2623981792045999</v>
      </c>
    </row>
    <row r="85" spans="2:10" x14ac:dyDescent="0.25">
      <c r="B85" s="190" t="s">
        <v>109</v>
      </c>
      <c r="C85" s="191">
        <v>4143</v>
      </c>
      <c r="D85" s="191">
        <v>28038</v>
      </c>
      <c r="E85" s="191">
        <v>33734</v>
      </c>
      <c r="F85" s="191">
        <v>43780</v>
      </c>
      <c r="G85" s="191">
        <v>50883</v>
      </c>
      <c r="H85" s="191">
        <v>51337</v>
      </c>
      <c r="I85" s="192">
        <f t="shared" si="11"/>
        <v>8.922429888174932E-3</v>
      </c>
      <c r="J85" s="192">
        <f>H85/H81</f>
        <v>0.61496166746526115</v>
      </c>
    </row>
    <row r="86" spans="2:10" x14ac:dyDescent="0.25">
      <c r="B86" s="194" t="s">
        <v>112</v>
      </c>
      <c r="C86" s="195">
        <v>677</v>
      </c>
      <c r="D86" s="195">
        <v>4120</v>
      </c>
      <c r="E86" s="195">
        <v>6898</v>
      </c>
      <c r="F86" s="195">
        <v>9558</v>
      </c>
      <c r="G86" s="195">
        <v>10747</v>
      </c>
      <c r="H86" s="195">
        <v>12100</v>
      </c>
      <c r="I86" s="196">
        <f t="shared" si="11"/>
        <v>0.12589559877175027</v>
      </c>
      <c r="J86" s="196">
        <f>H86/H81</f>
        <v>0.14494489698131288</v>
      </c>
    </row>
    <row r="87" spans="2:10" x14ac:dyDescent="0.25">
      <c r="B87" s="194" t="s">
        <v>115</v>
      </c>
      <c r="C87" s="195">
        <v>396</v>
      </c>
      <c r="D87" s="195">
        <v>9102</v>
      </c>
      <c r="E87" s="195">
        <v>9337</v>
      </c>
      <c r="F87" s="195">
        <v>10604</v>
      </c>
      <c r="G87" s="195">
        <v>12680</v>
      </c>
      <c r="H87" s="195">
        <v>11589</v>
      </c>
      <c r="I87" s="196">
        <f t="shared" si="11"/>
        <v>-8.6041009463722395E-2</v>
      </c>
      <c r="J87" s="196">
        <f>H87/H81</f>
        <v>0.13882367034020124</v>
      </c>
    </row>
    <row r="88" spans="2:10" x14ac:dyDescent="0.25">
      <c r="B88" s="194" t="s">
        <v>118</v>
      </c>
      <c r="C88" s="195">
        <v>872</v>
      </c>
      <c r="D88" s="195">
        <v>2935</v>
      </c>
      <c r="E88" s="195">
        <v>2881</v>
      </c>
      <c r="F88" s="195">
        <v>4916</v>
      </c>
      <c r="G88" s="195">
        <v>5925</v>
      </c>
      <c r="H88" s="195">
        <v>5658</v>
      </c>
      <c r="I88" s="196">
        <f t="shared" si="11"/>
        <v>-4.5063291139240458E-2</v>
      </c>
      <c r="J88" s="196">
        <f>H88/H81</f>
        <v>6.7776712985146148E-2</v>
      </c>
    </row>
    <row r="89" spans="2:10" x14ac:dyDescent="0.25">
      <c r="B89" s="194" t="s">
        <v>125</v>
      </c>
      <c r="C89" s="195">
        <v>48</v>
      </c>
      <c r="D89" s="195">
        <v>1127</v>
      </c>
      <c r="E89" s="195">
        <v>890</v>
      </c>
      <c r="F89" s="195">
        <v>1412</v>
      </c>
      <c r="G89" s="195">
        <v>2087</v>
      </c>
      <c r="H89" s="195">
        <v>1713</v>
      </c>
      <c r="I89" s="196">
        <f t="shared" si="11"/>
        <v>-0.1792045999041687</v>
      </c>
      <c r="J89" s="196">
        <f>H89/H81</f>
        <v>2.0519885002395783E-2</v>
      </c>
    </row>
    <row r="90" spans="2:10" x14ac:dyDescent="0.25">
      <c r="B90" s="194" t="s">
        <v>121</v>
      </c>
      <c r="C90" s="195">
        <v>129</v>
      </c>
      <c r="D90" s="195">
        <v>964</v>
      </c>
      <c r="E90" s="195">
        <v>428</v>
      </c>
      <c r="F90" s="195">
        <v>701</v>
      </c>
      <c r="G90" s="195">
        <v>870</v>
      </c>
      <c r="H90" s="195">
        <v>1052</v>
      </c>
      <c r="I90" s="196">
        <f t="shared" si="11"/>
        <v>0.20919540229885047</v>
      </c>
      <c r="J90" s="196">
        <f>H90/H81</f>
        <v>1.2601820795400096E-2</v>
      </c>
    </row>
    <row r="91" spans="2:10" x14ac:dyDescent="0.25">
      <c r="B91" s="194" t="s">
        <v>130</v>
      </c>
      <c r="C91" s="195">
        <v>5</v>
      </c>
      <c r="D91" s="195">
        <v>465</v>
      </c>
      <c r="E91" s="195">
        <v>871</v>
      </c>
      <c r="F91" s="195">
        <v>669</v>
      </c>
      <c r="G91" s="195">
        <v>649</v>
      </c>
      <c r="H91" s="195">
        <v>602</v>
      </c>
      <c r="I91" s="196">
        <f t="shared" si="11"/>
        <v>-7.2419106317411441E-2</v>
      </c>
      <c r="J91" s="196">
        <f>H91/H81</f>
        <v>7.2113080977479638E-3</v>
      </c>
    </row>
    <row r="92" spans="2:10" x14ac:dyDescent="0.25">
      <c r="B92" s="194" t="s">
        <v>133</v>
      </c>
      <c r="C92" s="195">
        <v>46</v>
      </c>
      <c r="D92" s="195">
        <v>349</v>
      </c>
      <c r="E92" s="195">
        <v>931</v>
      </c>
      <c r="F92" s="195">
        <v>842</v>
      </c>
      <c r="G92" s="195">
        <v>637</v>
      </c>
      <c r="H92" s="195">
        <v>542</v>
      </c>
      <c r="I92" s="196">
        <f t="shared" si="11"/>
        <v>-0.14913657770800626</v>
      </c>
      <c r="J92" s="196">
        <f>H92/H81</f>
        <v>6.4925730713943459E-3</v>
      </c>
    </row>
    <row r="93" spans="2:10" x14ac:dyDescent="0.25">
      <c r="B93" s="199" t="s">
        <v>147</v>
      </c>
      <c r="C93" s="200">
        <f t="shared" ref="C93:H93" si="12">C85-SUM(C86:C92)</f>
        <v>1970</v>
      </c>
      <c r="D93" s="200">
        <f t="shared" si="12"/>
        <v>8976</v>
      </c>
      <c r="E93" s="200">
        <f t="shared" si="12"/>
        <v>11498</v>
      </c>
      <c r="F93" s="200">
        <f t="shared" si="12"/>
        <v>15078</v>
      </c>
      <c r="G93" s="200">
        <f t="shared" si="12"/>
        <v>17288</v>
      </c>
      <c r="H93" s="200">
        <f t="shared" si="12"/>
        <v>18081</v>
      </c>
      <c r="I93" s="201">
        <f t="shared" si="11"/>
        <v>4.5869967607589102E-2</v>
      </c>
      <c r="J93" s="201">
        <f>H93/H81</f>
        <v>0.21659080019166269</v>
      </c>
    </row>
    <row r="94" spans="2:10" x14ac:dyDescent="0.25">
      <c r="B94" s="186" t="s">
        <v>51</v>
      </c>
      <c r="C94" s="207"/>
      <c r="D94" s="207"/>
      <c r="E94" s="207"/>
      <c r="F94" s="207"/>
      <c r="G94" s="207"/>
      <c r="H94" s="207"/>
      <c r="I94" s="208"/>
      <c r="J94" s="208"/>
    </row>
    <row r="95" spans="2:10" x14ac:dyDescent="0.25">
      <c r="B95" s="187" t="s">
        <v>70</v>
      </c>
      <c r="C95" s="209">
        <v>1764</v>
      </c>
      <c r="D95" s="209">
        <v>3380</v>
      </c>
      <c r="E95" s="209">
        <v>4025</v>
      </c>
      <c r="F95" s="209">
        <v>4419</v>
      </c>
      <c r="G95" s="209">
        <v>4919</v>
      </c>
      <c r="H95" s="209">
        <v>5990</v>
      </c>
      <c r="I95" s="210">
        <f t="shared" ref="I95:I107" si="13">IFERROR(H95/G95-1,"-")</f>
        <v>0.21772718032120353</v>
      </c>
      <c r="J95" s="210">
        <f>H95/H95</f>
        <v>1</v>
      </c>
    </row>
    <row r="96" spans="2:10" x14ac:dyDescent="0.25">
      <c r="B96" s="190" t="s">
        <v>99</v>
      </c>
      <c r="C96" s="191">
        <v>1351</v>
      </c>
      <c r="D96" s="191">
        <v>2127</v>
      </c>
      <c r="E96" s="191">
        <v>2508</v>
      </c>
      <c r="F96" s="191">
        <v>2825</v>
      </c>
      <c r="G96" s="191">
        <v>3162</v>
      </c>
      <c r="H96" s="191">
        <v>4225</v>
      </c>
      <c r="I96" s="192">
        <f t="shared" si="13"/>
        <v>0.33617963314358001</v>
      </c>
      <c r="J96" s="192">
        <f>H96/H95</f>
        <v>0.70534223706176957</v>
      </c>
    </row>
    <row r="97" spans="2:10" x14ac:dyDescent="0.25">
      <c r="B97" s="194" t="s">
        <v>105</v>
      </c>
      <c r="C97" s="195">
        <v>559</v>
      </c>
      <c r="D97" s="195">
        <v>1197</v>
      </c>
      <c r="E97" s="195">
        <v>1024</v>
      </c>
      <c r="F97" s="195">
        <v>661</v>
      </c>
      <c r="G97" s="195">
        <v>965</v>
      </c>
      <c r="H97" s="195">
        <v>2021</v>
      </c>
      <c r="I97" s="196">
        <f t="shared" si="13"/>
        <v>1.0943005181347152</v>
      </c>
      <c r="J97" s="196">
        <f>H97/H95</f>
        <v>0.33739565943238731</v>
      </c>
    </row>
    <row r="98" spans="2:10" x14ac:dyDescent="0.25">
      <c r="B98" s="194" t="s">
        <v>102</v>
      </c>
      <c r="C98" s="195">
        <v>792</v>
      </c>
      <c r="D98" s="195">
        <v>930</v>
      </c>
      <c r="E98" s="195">
        <v>1484</v>
      </c>
      <c r="F98" s="195">
        <v>2164</v>
      </c>
      <c r="G98" s="195">
        <v>2197</v>
      </c>
      <c r="H98" s="195">
        <v>2204</v>
      </c>
      <c r="I98" s="196">
        <f t="shared" si="13"/>
        <v>3.1861629494764898E-3</v>
      </c>
      <c r="J98" s="196">
        <f>H98/H95</f>
        <v>0.36794657762938232</v>
      </c>
    </row>
    <row r="99" spans="2:10" x14ac:dyDescent="0.25">
      <c r="B99" s="190" t="s">
        <v>109</v>
      </c>
      <c r="C99" s="191">
        <v>413</v>
      </c>
      <c r="D99" s="191">
        <v>1253</v>
      </c>
      <c r="E99" s="191">
        <v>1517</v>
      </c>
      <c r="F99" s="191">
        <v>1594</v>
      </c>
      <c r="G99" s="191">
        <v>1757</v>
      </c>
      <c r="H99" s="191">
        <v>1765</v>
      </c>
      <c r="I99" s="192">
        <f t="shared" si="13"/>
        <v>4.5532157085941272E-3</v>
      </c>
      <c r="J99" s="192">
        <f>H99/H95</f>
        <v>0.29465776293823037</v>
      </c>
    </row>
    <row r="100" spans="2:10" x14ac:dyDescent="0.25">
      <c r="B100" s="194" t="s">
        <v>112</v>
      </c>
      <c r="C100" s="195">
        <v>50</v>
      </c>
      <c r="D100" s="195">
        <v>163</v>
      </c>
      <c r="E100" s="195">
        <v>175</v>
      </c>
      <c r="F100" s="195">
        <v>180</v>
      </c>
      <c r="G100" s="195">
        <v>204</v>
      </c>
      <c r="H100" s="195">
        <v>168</v>
      </c>
      <c r="I100" s="196">
        <f t="shared" si="13"/>
        <v>-0.17647058823529416</v>
      </c>
      <c r="J100" s="196">
        <f>H100/H95</f>
        <v>2.8046744574290485E-2</v>
      </c>
    </row>
    <row r="101" spans="2:10" x14ac:dyDescent="0.25">
      <c r="B101" s="194" t="s">
        <v>115</v>
      </c>
      <c r="C101" s="195">
        <v>40</v>
      </c>
      <c r="D101" s="195">
        <v>402</v>
      </c>
      <c r="E101" s="195">
        <v>318</v>
      </c>
      <c r="F101" s="195">
        <v>304</v>
      </c>
      <c r="G101" s="195">
        <v>305</v>
      </c>
      <c r="H101" s="195">
        <v>332</v>
      </c>
      <c r="I101" s="196">
        <f t="shared" si="13"/>
        <v>8.8524590163934436E-2</v>
      </c>
      <c r="J101" s="196">
        <f>H101/H95</f>
        <v>5.5425709515859768E-2</v>
      </c>
    </row>
    <row r="102" spans="2:10" x14ac:dyDescent="0.25">
      <c r="B102" s="194" t="s">
        <v>118</v>
      </c>
      <c r="C102" s="195">
        <v>154</v>
      </c>
      <c r="D102" s="195">
        <v>204</v>
      </c>
      <c r="E102" s="195">
        <v>223</v>
      </c>
      <c r="F102" s="195">
        <v>290</v>
      </c>
      <c r="G102" s="195">
        <v>286</v>
      </c>
      <c r="H102" s="195">
        <v>297</v>
      </c>
      <c r="I102" s="196">
        <f t="shared" si="13"/>
        <v>3.8461538461538547E-2</v>
      </c>
      <c r="J102" s="196">
        <f>H102/H95</f>
        <v>4.9582637729549246E-2</v>
      </c>
    </row>
    <row r="103" spans="2:10" x14ac:dyDescent="0.25">
      <c r="B103" s="194" t="s">
        <v>125</v>
      </c>
      <c r="C103" s="195">
        <v>4</v>
      </c>
      <c r="D103" s="195">
        <v>46</v>
      </c>
      <c r="E103" s="195">
        <v>72</v>
      </c>
      <c r="F103" s="195">
        <v>65</v>
      </c>
      <c r="G103" s="195">
        <v>79</v>
      </c>
      <c r="H103" s="195">
        <v>53</v>
      </c>
      <c r="I103" s="196">
        <f t="shared" si="13"/>
        <v>-0.32911392405063289</v>
      </c>
      <c r="J103" s="196">
        <f>H103/H95</f>
        <v>8.8480801335559262E-3</v>
      </c>
    </row>
    <row r="104" spans="2:10" x14ac:dyDescent="0.25">
      <c r="B104" s="194" t="s">
        <v>121</v>
      </c>
      <c r="C104" s="195">
        <v>39</v>
      </c>
      <c r="D104" s="195">
        <v>62</v>
      </c>
      <c r="E104" s="195">
        <v>37</v>
      </c>
      <c r="F104" s="195">
        <v>40</v>
      </c>
      <c r="G104" s="195">
        <v>57</v>
      </c>
      <c r="H104" s="195">
        <v>66</v>
      </c>
      <c r="I104" s="196">
        <f t="shared" si="13"/>
        <v>0.15789473684210531</v>
      </c>
      <c r="J104" s="196">
        <f>H104/H95</f>
        <v>1.1018363939899833E-2</v>
      </c>
    </row>
    <row r="105" spans="2:10" x14ac:dyDescent="0.25">
      <c r="B105" s="194" t="s">
        <v>130</v>
      </c>
      <c r="C105" s="195">
        <v>0</v>
      </c>
      <c r="D105" s="195">
        <v>31</v>
      </c>
      <c r="E105" s="195">
        <v>14</v>
      </c>
      <c r="F105" s="195">
        <v>6</v>
      </c>
      <c r="G105" s="195">
        <v>10</v>
      </c>
      <c r="H105" s="195">
        <v>4</v>
      </c>
      <c r="I105" s="196">
        <f t="shared" si="13"/>
        <v>-0.6</v>
      </c>
      <c r="J105" s="196">
        <f>H105/H95</f>
        <v>6.67779632721202E-4</v>
      </c>
    </row>
    <row r="106" spans="2:10" x14ac:dyDescent="0.25">
      <c r="B106" s="194" t="s">
        <v>133</v>
      </c>
      <c r="C106" s="195">
        <v>4</v>
      </c>
      <c r="D106" s="195">
        <v>4</v>
      </c>
      <c r="E106" s="195">
        <v>11</v>
      </c>
      <c r="F106" s="195">
        <v>16</v>
      </c>
      <c r="G106" s="195">
        <v>26</v>
      </c>
      <c r="H106" s="195">
        <v>18</v>
      </c>
      <c r="I106" s="196">
        <f t="shared" si="13"/>
        <v>-0.30769230769230771</v>
      </c>
      <c r="J106" s="196">
        <f>H106/H95</f>
        <v>3.0050083472454091E-3</v>
      </c>
    </row>
    <row r="107" spans="2:10" x14ac:dyDescent="0.25">
      <c r="B107" s="199" t="s">
        <v>147</v>
      </c>
      <c r="C107" s="200">
        <f t="shared" ref="C107:H107" si="14">C99-SUM(C100:C106)</f>
        <v>122</v>
      </c>
      <c r="D107" s="200">
        <f t="shared" si="14"/>
        <v>341</v>
      </c>
      <c r="E107" s="200">
        <f t="shared" si="14"/>
        <v>667</v>
      </c>
      <c r="F107" s="200">
        <f t="shared" si="14"/>
        <v>693</v>
      </c>
      <c r="G107" s="200">
        <f t="shared" si="14"/>
        <v>790</v>
      </c>
      <c r="H107" s="200">
        <f t="shared" si="14"/>
        <v>827</v>
      </c>
      <c r="I107" s="201">
        <f t="shared" si="13"/>
        <v>4.6835443037974711E-2</v>
      </c>
      <c r="J107" s="201">
        <f>H107/H95</f>
        <v>0.13806343906510851</v>
      </c>
    </row>
    <row r="108" spans="2:10" x14ac:dyDescent="0.25">
      <c r="B108" s="186" t="s">
        <v>52</v>
      </c>
      <c r="C108" s="207"/>
      <c r="D108" s="207"/>
      <c r="E108" s="207"/>
      <c r="F108" s="207"/>
      <c r="G108" s="207"/>
      <c r="H108" s="207"/>
      <c r="I108" s="208"/>
      <c r="J108" s="208"/>
    </row>
    <row r="109" spans="2:10" x14ac:dyDescent="0.25">
      <c r="B109" s="187" t="s">
        <v>70</v>
      </c>
      <c r="C109" s="209">
        <v>4520</v>
      </c>
      <c r="D109" s="209">
        <v>13324</v>
      </c>
      <c r="E109" s="209">
        <v>20050</v>
      </c>
      <c r="F109" s="209">
        <v>26095</v>
      </c>
      <c r="G109" s="209">
        <v>21212</v>
      </c>
      <c r="H109" s="209">
        <v>20345</v>
      </c>
      <c r="I109" s="210">
        <f t="shared" ref="I109:I121" si="15">IFERROR(H109/G109-1,"-")</f>
        <v>-4.0873090703375414E-2</v>
      </c>
      <c r="J109" s="210">
        <f>H109/H109</f>
        <v>1</v>
      </c>
    </row>
    <row r="110" spans="2:10" x14ac:dyDescent="0.25">
      <c r="B110" s="190" t="s">
        <v>99</v>
      </c>
      <c r="C110" s="191">
        <v>2326</v>
      </c>
      <c r="D110" s="191">
        <v>1838</v>
      </c>
      <c r="E110" s="191">
        <v>4253</v>
      </c>
      <c r="F110" s="191">
        <v>5907</v>
      </c>
      <c r="G110" s="191">
        <v>3763</v>
      </c>
      <c r="H110" s="191">
        <v>3558</v>
      </c>
      <c r="I110" s="192">
        <f t="shared" si="15"/>
        <v>-5.4477810257773096E-2</v>
      </c>
      <c r="J110" s="192">
        <f>H110/H109</f>
        <v>0.17488326370115506</v>
      </c>
    </row>
    <row r="111" spans="2:10" x14ac:dyDescent="0.25">
      <c r="B111" s="194" t="s">
        <v>105</v>
      </c>
      <c r="C111" s="195">
        <v>541</v>
      </c>
      <c r="D111" s="195">
        <v>278</v>
      </c>
      <c r="E111" s="195">
        <v>1349</v>
      </c>
      <c r="F111" s="195">
        <v>1500</v>
      </c>
      <c r="G111" s="195">
        <v>1345</v>
      </c>
      <c r="H111" s="195">
        <v>1595</v>
      </c>
      <c r="I111" s="196">
        <f t="shared" si="15"/>
        <v>0.18587360594795532</v>
      </c>
      <c r="J111" s="196">
        <f>H111/H109</f>
        <v>7.839764069796018E-2</v>
      </c>
    </row>
    <row r="112" spans="2:10" x14ac:dyDescent="0.25">
      <c r="B112" s="194" t="s">
        <v>102</v>
      </c>
      <c r="C112" s="195">
        <v>1785</v>
      </c>
      <c r="D112" s="195">
        <v>1560</v>
      </c>
      <c r="E112" s="195">
        <v>2904</v>
      </c>
      <c r="F112" s="195">
        <v>4407</v>
      </c>
      <c r="G112" s="195">
        <v>2418</v>
      </c>
      <c r="H112" s="195">
        <v>1963</v>
      </c>
      <c r="I112" s="196">
        <f t="shared" si="15"/>
        <v>-0.18817204301075274</v>
      </c>
      <c r="J112" s="196">
        <f>H112/H109</f>
        <v>9.6485623003194881E-2</v>
      </c>
    </row>
    <row r="113" spans="2:10" x14ac:dyDescent="0.25">
      <c r="B113" s="190" t="s">
        <v>109</v>
      </c>
      <c r="C113" s="191">
        <v>2194</v>
      </c>
      <c r="D113" s="191">
        <v>11486</v>
      </c>
      <c r="E113" s="191">
        <v>15797</v>
      </c>
      <c r="F113" s="191">
        <v>20188</v>
      </c>
      <c r="G113" s="191">
        <v>17449</v>
      </c>
      <c r="H113" s="191">
        <v>16787</v>
      </c>
      <c r="I113" s="192">
        <f t="shared" si="15"/>
        <v>-3.7939136913290206E-2</v>
      </c>
      <c r="J113" s="192">
        <f>H113/H109</f>
        <v>0.82511673629884497</v>
      </c>
    </row>
    <row r="114" spans="2:10" x14ac:dyDescent="0.25">
      <c r="B114" s="194" t="s">
        <v>112</v>
      </c>
      <c r="C114" s="195">
        <v>1391</v>
      </c>
      <c r="D114" s="195">
        <v>7205</v>
      </c>
      <c r="E114" s="195">
        <v>10291</v>
      </c>
      <c r="F114" s="195">
        <v>14584</v>
      </c>
      <c r="G114" s="195">
        <v>10648</v>
      </c>
      <c r="H114" s="195">
        <v>10545</v>
      </c>
      <c r="I114" s="196">
        <f t="shared" si="15"/>
        <v>-9.6731780616078344E-3</v>
      </c>
      <c r="J114" s="196">
        <f>H114/H109</f>
        <v>0.51830916687146722</v>
      </c>
    </row>
    <row r="115" spans="2:10" x14ac:dyDescent="0.25">
      <c r="B115" s="194" t="s">
        <v>115</v>
      </c>
      <c r="C115" s="195">
        <v>86</v>
      </c>
      <c r="D115" s="195">
        <v>638</v>
      </c>
      <c r="E115" s="195">
        <v>495</v>
      </c>
      <c r="F115" s="195">
        <v>573</v>
      </c>
      <c r="G115" s="195">
        <v>733</v>
      </c>
      <c r="H115" s="195">
        <v>883</v>
      </c>
      <c r="I115" s="196">
        <f t="shared" si="15"/>
        <v>0.2046384720327421</v>
      </c>
      <c r="J115" s="196">
        <f>H115/H109</f>
        <v>4.3401327107397393E-2</v>
      </c>
    </row>
    <row r="116" spans="2:10" x14ac:dyDescent="0.25">
      <c r="B116" s="194" t="s">
        <v>118</v>
      </c>
      <c r="C116" s="195">
        <v>304</v>
      </c>
      <c r="D116" s="195">
        <v>611</v>
      </c>
      <c r="E116" s="195">
        <v>1131</v>
      </c>
      <c r="F116" s="195">
        <v>834</v>
      </c>
      <c r="G116" s="195">
        <v>1681</v>
      </c>
      <c r="H116" s="195">
        <v>1410</v>
      </c>
      <c r="I116" s="196">
        <f t="shared" si="15"/>
        <v>-0.16121356335514569</v>
      </c>
      <c r="J116" s="196">
        <f>H116/H109</f>
        <v>6.9304497419513389E-2</v>
      </c>
    </row>
    <row r="117" spans="2:10" x14ac:dyDescent="0.25">
      <c r="B117" s="194" t="s">
        <v>125</v>
      </c>
      <c r="C117" s="195">
        <v>48</v>
      </c>
      <c r="D117" s="195">
        <v>581</v>
      </c>
      <c r="E117" s="195">
        <v>475</v>
      </c>
      <c r="F117" s="195">
        <v>853</v>
      </c>
      <c r="G117" s="195">
        <v>735</v>
      </c>
      <c r="H117" s="195">
        <v>533</v>
      </c>
      <c r="I117" s="196">
        <f t="shared" si="15"/>
        <v>-0.27482993197278915</v>
      </c>
      <c r="J117" s="196">
        <f>H117/H109</f>
        <v>2.6198083067092651E-2</v>
      </c>
    </row>
    <row r="118" spans="2:10" x14ac:dyDescent="0.25">
      <c r="B118" s="194" t="s">
        <v>121</v>
      </c>
      <c r="C118" s="195">
        <v>163</v>
      </c>
      <c r="D118" s="195">
        <v>624</v>
      </c>
      <c r="E118" s="195">
        <v>357</v>
      </c>
      <c r="F118" s="195">
        <v>373</v>
      </c>
      <c r="G118" s="195">
        <v>608</v>
      </c>
      <c r="H118" s="195">
        <v>439</v>
      </c>
      <c r="I118" s="196">
        <f t="shared" si="15"/>
        <v>-0.27796052631578949</v>
      </c>
      <c r="J118" s="196">
        <f>H118/H109</f>
        <v>2.1577783239125091E-2</v>
      </c>
    </row>
    <row r="119" spans="2:10" x14ac:dyDescent="0.25">
      <c r="B119" s="194" t="s">
        <v>130</v>
      </c>
      <c r="C119" s="195">
        <v>0</v>
      </c>
      <c r="D119" s="195">
        <v>78</v>
      </c>
      <c r="E119" s="195">
        <v>374</v>
      </c>
      <c r="F119" s="195">
        <v>91</v>
      </c>
      <c r="G119" s="195">
        <v>53</v>
      </c>
      <c r="H119" s="195">
        <v>87</v>
      </c>
      <c r="I119" s="196">
        <f t="shared" si="15"/>
        <v>0.64150943396226423</v>
      </c>
      <c r="J119" s="196">
        <f>H119/H109</f>
        <v>4.276234947161465E-3</v>
      </c>
    </row>
    <row r="120" spans="2:10" x14ac:dyDescent="0.25">
      <c r="B120" s="194" t="s">
        <v>133</v>
      </c>
      <c r="C120" s="195">
        <v>8</v>
      </c>
      <c r="D120" s="195">
        <v>61</v>
      </c>
      <c r="E120" s="195">
        <v>56</v>
      </c>
      <c r="F120" s="195">
        <v>34</v>
      </c>
      <c r="G120" s="195">
        <v>47</v>
      </c>
      <c r="H120" s="195">
        <v>54</v>
      </c>
      <c r="I120" s="196">
        <f t="shared" si="15"/>
        <v>0.14893617021276606</v>
      </c>
      <c r="J120" s="196">
        <f>H120/H109</f>
        <v>2.6542147947898748E-3</v>
      </c>
    </row>
    <row r="121" spans="2:10" x14ac:dyDescent="0.25">
      <c r="B121" s="199" t="s">
        <v>147</v>
      </c>
      <c r="C121" s="200">
        <f t="shared" ref="C121:H121" si="16">C113-SUM(C114:C120)</f>
        <v>194</v>
      </c>
      <c r="D121" s="200">
        <f t="shared" si="16"/>
        <v>1688</v>
      </c>
      <c r="E121" s="200">
        <f t="shared" si="16"/>
        <v>2618</v>
      </c>
      <c r="F121" s="200">
        <f t="shared" si="16"/>
        <v>2846</v>
      </c>
      <c r="G121" s="200">
        <f t="shared" si="16"/>
        <v>2944</v>
      </c>
      <c r="H121" s="200">
        <f t="shared" si="16"/>
        <v>2836</v>
      </c>
      <c r="I121" s="201">
        <f t="shared" si="15"/>
        <v>-3.6684782608695676E-2</v>
      </c>
      <c r="J121" s="201">
        <f>H121/H109</f>
        <v>0.13939542885229786</v>
      </c>
    </row>
    <row r="122" spans="2:10" x14ac:dyDescent="0.25">
      <c r="B122" s="186" t="s">
        <v>53</v>
      </c>
      <c r="C122" s="207"/>
      <c r="D122" s="207"/>
      <c r="E122" s="207"/>
      <c r="F122" s="207"/>
      <c r="G122" s="207"/>
      <c r="H122" s="207"/>
      <c r="I122" s="208"/>
      <c r="J122" s="208"/>
    </row>
    <row r="123" spans="2:10" x14ac:dyDescent="0.25">
      <c r="B123" s="187" t="s">
        <v>70</v>
      </c>
      <c r="C123" s="209">
        <v>9298</v>
      </c>
      <c r="D123" s="209">
        <v>19721</v>
      </c>
      <c r="E123" s="209">
        <v>21932</v>
      </c>
      <c r="F123" s="209">
        <v>20553</v>
      </c>
      <c r="G123" s="209">
        <v>19337</v>
      </c>
      <c r="H123" s="209">
        <v>24469</v>
      </c>
      <c r="I123" s="210">
        <f t="shared" ref="I123:I135" si="17">IFERROR(H123/G123-1,"-")</f>
        <v>0.26539794176966436</v>
      </c>
      <c r="J123" s="210">
        <f>H123/H123</f>
        <v>1</v>
      </c>
    </row>
    <row r="124" spans="2:10" x14ac:dyDescent="0.25">
      <c r="B124" s="190" t="s">
        <v>99</v>
      </c>
      <c r="C124" s="191">
        <v>6718</v>
      </c>
      <c r="D124" s="191">
        <v>12642</v>
      </c>
      <c r="E124" s="191">
        <v>13163</v>
      </c>
      <c r="F124" s="191">
        <v>13962</v>
      </c>
      <c r="G124" s="191">
        <v>12735</v>
      </c>
      <c r="H124" s="191">
        <v>16739</v>
      </c>
      <c r="I124" s="192">
        <f t="shared" si="17"/>
        <v>0.3144091087553984</v>
      </c>
      <c r="J124" s="192">
        <f>H124/H123</f>
        <v>0.68409007315378645</v>
      </c>
    </row>
    <row r="125" spans="2:10" x14ac:dyDescent="0.25">
      <c r="B125" s="194" t="s">
        <v>105</v>
      </c>
      <c r="C125" s="195">
        <v>2794</v>
      </c>
      <c r="D125" s="195">
        <v>6555</v>
      </c>
      <c r="E125" s="195">
        <v>6599</v>
      </c>
      <c r="F125" s="195">
        <v>6901</v>
      </c>
      <c r="G125" s="195">
        <v>5022</v>
      </c>
      <c r="H125" s="195">
        <v>8452</v>
      </c>
      <c r="I125" s="196">
        <f t="shared" si="17"/>
        <v>0.68299482277976908</v>
      </c>
      <c r="J125" s="196">
        <f>H125/H123</f>
        <v>0.34541664963831786</v>
      </c>
    </row>
    <row r="126" spans="2:10" x14ac:dyDescent="0.25">
      <c r="B126" s="194" t="s">
        <v>102</v>
      </c>
      <c r="C126" s="195">
        <v>3924</v>
      </c>
      <c r="D126" s="195">
        <v>6087</v>
      </c>
      <c r="E126" s="195">
        <v>6564</v>
      </c>
      <c r="F126" s="195">
        <v>7061</v>
      </c>
      <c r="G126" s="195">
        <v>7713</v>
      </c>
      <c r="H126" s="195">
        <v>8287</v>
      </c>
      <c r="I126" s="196">
        <f t="shared" si="17"/>
        <v>7.4419810709192236E-2</v>
      </c>
      <c r="J126" s="196">
        <f>H126/H123</f>
        <v>0.33867342351546853</v>
      </c>
    </row>
    <row r="127" spans="2:10" x14ac:dyDescent="0.25">
      <c r="B127" s="190" t="s">
        <v>109</v>
      </c>
      <c r="C127" s="191">
        <v>2580</v>
      </c>
      <c r="D127" s="191">
        <v>7079</v>
      </c>
      <c r="E127" s="191">
        <v>8769</v>
      </c>
      <c r="F127" s="191">
        <v>6591</v>
      </c>
      <c r="G127" s="191">
        <v>6602</v>
      </c>
      <c r="H127" s="191">
        <v>7730</v>
      </c>
      <c r="I127" s="192">
        <f t="shared" si="17"/>
        <v>0.1708573159648592</v>
      </c>
      <c r="J127" s="192">
        <f>H127/H123</f>
        <v>0.31590992684621355</v>
      </c>
    </row>
    <row r="128" spans="2:10" x14ac:dyDescent="0.25">
      <c r="B128" s="194" t="s">
        <v>112</v>
      </c>
      <c r="C128" s="195">
        <v>148</v>
      </c>
      <c r="D128" s="195">
        <v>599</v>
      </c>
      <c r="E128" s="195">
        <v>998</v>
      </c>
      <c r="F128" s="195">
        <v>765</v>
      </c>
      <c r="G128" s="195">
        <v>620</v>
      </c>
      <c r="H128" s="195">
        <v>838</v>
      </c>
      <c r="I128" s="196">
        <f t="shared" si="17"/>
        <v>0.35161290322580641</v>
      </c>
      <c r="J128" s="196">
        <f>H128/H123</f>
        <v>3.4247415096652911E-2</v>
      </c>
    </row>
    <row r="129" spans="2:10" x14ac:dyDescent="0.25">
      <c r="B129" s="194" t="s">
        <v>115</v>
      </c>
      <c r="C129" s="195">
        <v>152</v>
      </c>
      <c r="D129" s="195">
        <v>957</v>
      </c>
      <c r="E129" s="195">
        <v>1127</v>
      </c>
      <c r="F129" s="195">
        <v>849</v>
      </c>
      <c r="G129" s="195">
        <v>789</v>
      </c>
      <c r="H129" s="195">
        <v>1085</v>
      </c>
      <c r="I129" s="196">
        <f t="shared" si="17"/>
        <v>0.3751584283903675</v>
      </c>
      <c r="J129" s="196">
        <f>H129/H123</f>
        <v>4.4341820262372801E-2</v>
      </c>
    </row>
    <row r="130" spans="2:10" x14ac:dyDescent="0.25">
      <c r="B130" s="194" t="s">
        <v>118</v>
      </c>
      <c r="C130" s="195">
        <v>199</v>
      </c>
      <c r="D130" s="195">
        <v>633</v>
      </c>
      <c r="E130" s="195">
        <v>660</v>
      </c>
      <c r="F130" s="195">
        <v>726</v>
      </c>
      <c r="G130" s="195">
        <v>682</v>
      </c>
      <c r="H130" s="195">
        <v>777</v>
      </c>
      <c r="I130" s="196">
        <f t="shared" si="17"/>
        <v>0.13929618768328456</v>
      </c>
      <c r="J130" s="196">
        <f>H130/H123</f>
        <v>3.1754464833054066E-2</v>
      </c>
    </row>
    <row r="131" spans="2:10" x14ac:dyDescent="0.25">
      <c r="B131" s="194" t="s">
        <v>125</v>
      </c>
      <c r="C131" s="195">
        <v>30</v>
      </c>
      <c r="D131" s="195">
        <v>167</v>
      </c>
      <c r="E131" s="195">
        <v>124</v>
      </c>
      <c r="F131" s="195">
        <v>156</v>
      </c>
      <c r="G131" s="195">
        <v>124</v>
      </c>
      <c r="H131" s="195">
        <v>186</v>
      </c>
      <c r="I131" s="196">
        <f t="shared" si="17"/>
        <v>0.5</v>
      </c>
      <c r="J131" s="196">
        <f>H131/H123</f>
        <v>7.6014549021210511E-3</v>
      </c>
    </row>
    <row r="132" spans="2:10" x14ac:dyDescent="0.25">
      <c r="B132" s="194" t="s">
        <v>121</v>
      </c>
      <c r="C132" s="195">
        <v>47</v>
      </c>
      <c r="D132" s="195">
        <v>177</v>
      </c>
      <c r="E132" s="195">
        <v>110</v>
      </c>
      <c r="F132" s="195">
        <v>137</v>
      </c>
      <c r="G132" s="195">
        <v>155</v>
      </c>
      <c r="H132" s="195">
        <v>199</v>
      </c>
      <c r="I132" s="196">
        <f t="shared" si="17"/>
        <v>0.28387096774193554</v>
      </c>
      <c r="J132" s="196">
        <f>H132/H123</f>
        <v>8.1327393845273613E-3</v>
      </c>
    </row>
    <row r="133" spans="2:10" x14ac:dyDescent="0.25">
      <c r="B133" s="194" t="s">
        <v>130</v>
      </c>
      <c r="C133" s="195">
        <v>15</v>
      </c>
      <c r="D133" s="195">
        <v>109</v>
      </c>
      <c r="E133" s="195">
        <v>130</v>
      </c>
      <c r="F133" s="195">
        <v>115</v>
      </c>
      <c r="G133" s="195">
        <v>112</v>
      </c>
      <c r="H133" s="195">
        <v>53</v>
      </c>
      <c r="I133" s="196">
        <f t="shared" si="17"/>
        <v>-0.5267857142857143</v>
      </c>
      <c r="J133" s="196">
        <f>H133/H123</f>
        <v>2.1660059667334176E-3</v>
      </c>
    </row>
    <row r="134" spans="2:10" x14ac:dyDescent="0.25">
      <c r="B134" s="194" t="s">
        <v>133</v>
      </c>
      <c r="C134" s="195">
        <v>20</v>
      </c>
      <c r="D134" s="195">
        <v>131</v>
      </c>
      <c r="E134" s="195">
        <v>161</v>
      </c>
      <c r="F134" s="195">
        <v>242</v>
      </c>
      <c r="G134" s="195">
        <v>228</v>
      </c>
      <c r="H134" s="195">
        <v>83</v>
      </c>
      <c r="I134" s="196">
        <f t="shared" si="17"/>
        <v>-0.63596491228070173</v>
      </c>
      <c r="J134" s="196">
        <f>H134/H123</f>
        <v>3.3920470799787485E-3</v>
      </c>
    </row>
    <row r="135" spans="2:10" x14ac:dyDescent="0.25">
      <c r="B135" s="199" t="s">
        <v>147</v>
      </c>
      <c r="C135" s="200">
        <f t="shared" ref="C135:H135" si="18">C127-SUM(C128:C134)</f>
        <v>1969</v>
      </c>
      <c r="D135" s="200">
        <f t="shared" si="18"/>
        <v>4306</v>
      </c>
      <c r="E135" s="200">
        <f t="shared" si="18"/>
        <v>5459</v>
      </c>
      <c r="F135" s="200">
        <f t="shared" si="18"/>
        <v>3601</v>
      </c>
      <c r="G135" s="200">
        <f t="shared" si="18"/>
        <v>3892</v>
      </c>
      <c r="H135" s="200">
        <f t="shared" si="18"/>
        <v>4509</v>
      </c>
      <c r="I135" s="201">
        <f t="shared" si="17"/>
        <v>0.15853031860226108</v>
      </c>
      <c r="J135" s="201">
        <f>H135/H123</f>
        <v>0.18427397932077322</v>
      </c>
    </row>
    <row r="136" spans="2:10" x14ac:dyDescent="0.25">
      <c r="B136" s="186" t="s">
        <v>54</v>
      </c>
      <c r="C136" s="207"/>
      <c r="D136" s="207"/>
      <c r="E136" s="207"/>
      <c r="F136" s="207"/>
      <c r="G136" s="207"/>
      <c r="H136" s="207"/>
      <c r="I136" s="208"/>
      <c r="J136" s="208"/>
    </row>
    <row r="137" spans="2:10" x14ac:dyDescent="0.25">
      <c r="B137" s="187" t="s">
        <v>70</v>
      </c>
      <c r="C137" s="209">
        <v>6665</v>
      </c>
      <c r="D137" s="209">
        <v>23140</v>
      </c>
      <c r="E137" s="209">
        <v>22327</v>
      </c>
      <c r="F137" s="209">
        <v>25007</v>
      </c>
      <c r="G137" s="209">
        <v>27341</v>
      </c>
      <c r="H137" s="209">
        <v>26482</v>
      </c>
      <c r="I137" s="210">
        <f t="shared" ref="I137:I149" si="19">IFERROR(H137/G137-1,"-")</f>
        <v>-3.1418016897699408E-2</v>
      </c>
      <c r="J137" s="210">
        <f>H137/H137</f>
        <v>1</v>
      </c>
    </row>
    <row r="138" spans="2:10" x14ac:dyDescent="0.25">
      <c r="B138" s="190" t="s">
        <v>99</v>
      </c>
      <c r="C138" s="191">
        <v>3756</v>
      </c>
      <c r="D138" s="191">
        <v>4314</v>
      </c>
      <c r="E138" s="191">
        <v>1651</v>
      </c>
      <c r="F138" s="191">
        <v>2377</v>
      </c>
      <c r="G138" s="191">
        <v>3489</v>
      </c>
      <c r="H138" s="191">
        <v>2925</v>
      </c>
      <c r="I138" s="192">
        <f t="shared" si="19"/>
        <v>-0.16165090283748929</v>
      </c>
      <c r="J138" s="192">
        <f>H138/H137</f>
        <v>0.11045238275054754</v>
      </c>
    </row>
    <row r="139" spans="2:10" x14ac:dyDescent="0.25">
      <c r="B139" s="194" t="s">
        <v>105</v>
      </c>
      <c r="C139" s="195">
        <v>3254</v>
      </c>
      <c r="D139" s="195">
        <v>3334</v>
      </c>
      <c r="E139" s="195">
        <v>1064</v>
      </c>
      <c r="F139" s="195">
        <v>1689</v>
      </c>
      <c r="G139" s="195">
        <v>2557</v>
      </c>
      <c r="H139" s="195">
        <v>1834</v>
      </c>
      <c r="I139" s="196">
        <f t="shared" si="19"/>
        <v>-0.28275322643723111</v>
      </c>
      <c r="J139" s="196">
        <f>H139/H137</f>
        <v>6.9254588022052713E-2</v>
      </c>
    </row>
    <row r="140" spans="2:10" x14ac:dyDescent="0.25">
      <c r="B140" s="194" t="s">
        <v>102</v>
      </c>
      <c r="C140" s="195">
        <v>502</v>
      </c>
      <c r="D140" s="195">
        <v>980</v>
      </c>
      <c r="E140" s="195">
        <v>587</v>
      </c>
      <c r="F140" s="195">
        <v>688</v>
      </c>
      <c r="G140" s="195">
        <v>932</v>
      </c>
      <c r="H140" s="195">
        <v>1091</v>
      </c>
      <c r="I140" s="196">
        <f t="shared" si="19"/>
        <v>0.17060085836909877</v>
      </c>
      <c r="J140" s="196">
        <f>H140/H137</f>
        <v>4.119779472849483E-2</v>
      </c>
    </row>
    <row r="141" spans="2:10" x14ac:dyDescent="0.25">
      <c r="B141" s="190" t="s">
        <v>109</v>
      </c>
      <c r="C141" s="191">
        <v>2909</v>
      </c>
      <c r="D141" s="191">
        <v>18826</v>
      </c>
      <c r="E141" s="191">
        <v>20676</v>
      </c>
      <c r="F141" s="191">
        <v>22630</v>
      </c>
      <c r="G141" s="191">
        <v>23852</v>
      </c>
      <c r="H141" s="191">
        <v>23557</v>
      </c>
      <c r="I141" s="192">
        <f t="shared" si="19"/>
        <v>-1.2367935602884406E-2</v>
      </c>
      <c r="J141" s="192">
        <f>H141/H137</f>
        <v>0.88954761724945242</v>
      </c>
    </row>
    <row r="142" spans="2:10" x14ac:dyDescent="0.25">
      <c r="B142" s="194" t="s">
        <v>112</v>
      </c>
      <c r="C142" s="195">
        <v>683</v>
      </c>
      <c r="D142" s="195">
        <v>6991</v>
      </c>
      <c r="E142" s="195">
        <v>9529</v>
      </c>
      <c r="F142" s="195">
        <v>10847</v>
      </c>
      <c r="G142" s="195">
        <v>11119</v>
      </c>
      <c r="H142" s="195">
        <v>10787</v>
      </c>
      <c r="I142" s="196">
        <f t="shared" si="19"/>
        <v>-2.9858800251821194E-2</v>
      </c>
      <c r="J142" s="196">
        <f>H142/H137</f>
        <v>0.40733328298466881</v>
      </c>
    </row>
    <row r="143" spans="2:10" x14ac:dyDescent="0.25">
      <c r="B143" s="194" t="s">
        <v>115</v>
      </c>
      <c r="C143" s="195">
        <v>194</v>
      </c>
      <c r="D143" s="195">
        <v>1854</v>
      </c>
      <c r="E143" s="195">
        <v>1679</v>
      </c>
      <c r="F143" s="195">
        <v>1982</v>
      </c>
      <c r="G143" s="195">
        <v>1956</v>
      </c>
      <c r="H143" s="195">
        <v>2380</v>
      </c>
      <c r="I143" s="196">
        <f t="shared" si="19"/>
        <v>0.21676891615541916</v>
      </c>
      <c r="J143" s="196">
        <f>H143/H137</f>
        <v>8.9872366135488255E-2</v>
      </c>
    </row>
    <row r="144" spans="2:10" x14ac:dyDescent="0.25">
      <c r="B144" s="194" t="s">
        <v>118</v>
      </c>
      <c r="C144" s="195">
        <v>841</v>
      </c>
      <c r="D144" s="195">
        <v>2808</v>
      </c>
      <c r="E144" s="195">
        <v>2797</v>
      </c>
      <c r="F144" s="195">
        <v>2556</v>
      </c>
      <c r="G144" s="195">
        <v>2794</v>
      </c>
      <c r="H144" s="195">
        <v>2877</v>
      </c>
      <c r="I144" s="196">
        <f t="shared" si="19"/>
        <v>2.970651395848245E-2</v>
      </c>
      <c r="J144" s="196">
        <f>H144/H137</f>
        <v>0.10863983082848727</v>
      </c>
    </row>
    <row r="145" spans="2:10" x14ac:dyDescent="0.25">
      <c r="B145" s="194" t="s">
        <v>125</v>
      </c>
      <c r="C145" s="195">
        <v>19</v>
      </c>
      <c r="D145" s="195">
        <v>1264</v>
      </c>
      <c r="E145" s="195">
        <v>709</v>
      </c>
      <c r="F145" s="195">
        <v>743</v>
      </c>
      <c r="G145" s="195">
        <v>702</v>
      </c>
      <c r="H145" s="195">
        <v>543</v>
      </c>
      <c r="I145" s="196">
        <f t="shared" si="19"/>
        <v>-0.22649572649572647</v>
      </c>
      <c r="J145" s="196">
        <f>H145/H137</f>
        <v>2.0504493618306776E-2</v>
      </c>
    </row>
    <row r="146" spans="2:10" x14ac:dyDescent="0.25">
      <c r="B146" s="194" t="s">
        <v>121</v>
      </c>
      <c r="C146" s="195">
        <v>84</v>
      </c>
      <c r="D146" s="195">
        <v>408</v>
      </c>
      <c r="E146" s="195">
        <v>379</v>
      </c>
      <c r="F146" s="195">
        <v>638</v>
      </c>
      <c r="G146" s="195">
        <v>350</v>
      </c>
      <c r="H146" s="195">
        <v>481</v>
      </c>
      <c r="I146" s="196">
        <f t="shared" si="19"/>
        <v>0.37428571428571433</v>
      </c>
      <c r="J146" s="196">
        <f>H146/H137</f>
        <v>1.8163280718978929E-2</v>
      </c>
    </row>
    <row r="147" spans="2:10" x14ac:dyDescent="0.25">
      <c r="B147" s="194" t="s">
        <v>130</v>
      </c>
      <c r="C147" s="195">
        <v>2</v>
      </c>
      <c r="D147" s="195">
        <v>285</v>
      </c>
      <c r="E147" s="195">
        <v>86</v>
      </c>
      <c r="F147" s="195">
        <v>77</v>
      </c>
      <c r="G147" s="195">
        <v>176</v>
      </c>
      <c r="H147" s="195">
        <v>153</v>
      </c>
      <c r="I147" s="196">
        <f t="shared" si="19"/>
        <v>-0.13068181818181823</v>
      </c>
      <c r="J147" s="196">
        <f>H147/H137</f>
        <v>5.7775092515671023E-3</v>
      </c>
    </row>
    <row r="148" spans="2:10" x14ac:dyDescent="0.25">
      <c r="B148" s="194" t="s">
        <v>133</v>
      </c>
      <c r="C148" s="195">
        <v>57</v>
      </c>
      <c r="D148" s="195">
        <v>142</v>
      </c>
      <c r="E148" s="195">
        <v>151</v>
      </c>
      <c r="F148" s="195">
        <v>132</v>
      </c>
      <c r="G148" s="195">
        <v>229</v>
      </c>
      <c r="H148" s="195">
        <v>228</v>
      </c>
      <c r="I148" s="196">
        <f t="shared" si="19"/>
        <v>-4.366812227074246E-3</v>
      </c>
      <c r="J148" s="196">
        <f>H148/H137</f>
        <v>8.6096216297862696E-3</v>
      </c>
    </row>
    <row r="149" spans="2:10" x14ac:dyDescent="0.25">
      <c r="B149" s="199" t="s">
        <v>147</v>
      </c>
      <c r="C149" s="200">
        <f t="shared" ref="C149:H149" si="20">C141-SUM(C142:C148)</f>
        <v>1029</v>
      </c>
      <c r="D149" s="200">
        <f t="shared" si="20"/>
        <v>5074</v>
      </c>
      <c r="E149" s="200">
        <f t="shared" si="20"/>
        <v>5346</v>
      </c>
      <c r="F149" s="200">
        <f t="shared" si="20"/>
        <v>5655</v>
      </c>
      <c r="G149" s="200">
        <f t="shared" si="20"/>
        <v>6526</v>
      </c>
      <c r="H149" s="200">
        <f t="shared" si="20"/>
        <v>6108</v>
      </c>
      <c r="I149" s="201">
        <f t="shared" si="19"/>
        <v>-6.4051486362243337E-2</v>
      </c>
      <c r="J149" s="201">
        <f>H149/H137</f>
        <v>0.23064723208216903</v>
      </c>
    </row>
    <row r="150" spans="2:10" x14ac:dyDescent="0.25">
      <c r="B150" s="186" t="s">
        <v>55</v>
      </c>
      <c r="C150" s="207"/>
      <c r="D150" s="207"/>
      <c r="E150" s="207"/>
      <c r="F150" s="207"/>
      <c r="G150" s="207"/>
      <c r="H150" s="207"/>
      <c r="I150" s="208"/>
      <c r="J150" s="208"/>
    </row>
    <row r="151" spans="2:10" x14ac:dyDescent="0.25">
      <c r="B151" s="187" t="s">
        <v>70</v>
      </c>
      <c r="C151" s="209">
        <v>2754</v>
      </c>
      <c r="D151" s="209">
        <v>9641</v>
      </c>
      <c r="E151" s="209">
        <v>9567</v>
      </c>
      <c r="F151" s="209">
        <v>11329</v>
      </c>
      <c r="G151" s="209">
        <v>11427</v>
      </c>
      <c r="H151" s="209">
        <v>11558</v>
      </c>
      <c r="I151" s="210">
        <f t="shared" ref="I151:I163" si="21">IFERROR(H151/G151-1,"-")</f>
        <v>1.1464076310492732E-2</v>
      </c>
      <c r="J151" s="210">
        <f>H151/H151</f>
        <v>1</v>
      </c>
    </row>
    <row r="152" spans="2:10" x14ac:dyDescent="0.25">
      <c r="B152" s="190" t="s">
        <v>99</v>
      </c>
      <c r="C152" s="191">
        <v>2182</v>
      </c>
      <c r="D152" s="191">
        <v>5007</v>
      </c>
      <c r="E152" s="191">
        <v>5326</v>
      </c>
      <c r="F152" s="191">
        <v>5352</v>
      </c>
      <c r="G152" s="191">
        <v>5073</v>
      </c>
      <c r="H152" s="191">
        <v>4969</v>
      </c>
      <c r="I152" s="192">
        <f t="shared" si="21"/>
        <v>-2.0500689927064886E-2</v>
      </c>
      <c r="J152" s="192">
        <f>H152/H151</f>
        <v>0.42991867105035475</v>
      </c>
    </row>
    <row r="153" spans="2:10" x14ac:dyDescent="0.25">
      <c r="B153" s="194" t="s">
        <v>105</v>
      </c>
      <c r="C153" s="195">
        <v>1754</v>
      </c>
      <c r="D153" s="195">
        <v>4117</v>
      </c>
      <c r="E153" s="195">
        <v>3945</v>
      </c>
      <c r="F153" s="195">
        <v>4534</v>
      </c>
      <c r="G153" s="195">
        <v>3426</v>
      </c>
      <c r="H153" s="195">
        <v>3539</v>
      </c>
      <c r="I153" s="196">
        <f t="shared" si="21"/>
        <v>3.2983070636310563E-2</v>
      </c>
      <c r="J153" s="196">
        <f>H153/H151</f>
        <v>0.30619484339851183</v>
      </c>
    </row>
    <row r="154" spans="2:10" x14ac:dyDescent="0.25">
      <c r="B154" s="194" t="s">
        <v>102</v>
      </c>
      <c r="C154" s="195">
        <v>428</v>
      </c>
      <c r="D154" s="195">
        <v>890</v>
      </c>
      <c r="E154" s="195">
        <v>1381</v>
      </c>
      <c r="F154" s="195">
        <v>818</v>
      </c>
      <c r="G154" s="195">
        <v>1647</v>
      </c>
      <c r="H154" s="195">
        <v>1430</v>
      </c>
      <c r="I154" s="196">
        <f t="shared" si="21"/>
        <v>-0.1317547055251973</v>
      </c>
      <c r="J154" s="196">
        <f>H154/H151</f>
        <v>0.12372382765184288</v>
      </c>
    </row>
    <row r="155" spans="2:10" x14ac:dyDescent="0.25">
      <c r="B155" s="190" t="s">
        <v>109</v>
      </c>
      <c r="C155" s="191">
        <v>572</v>
      </c>
      <c r="D155" s="191">
        <v>4634</v>
      </c>
      <c r="E155" s="191">
        <v>4241</v>
      </c>
      <c r="F155" s="191">
        <v>5977</v>
      </c>
      <c r="G155" s="191">
        <v>6354</v>
      </c>
      <c r="H155" s="191">
        <v>6589</v>
      </c>
      <c r="I155" s="192">
        <f t="shared" si="21"/>
        <v>3.6984576644633282E-2</v>
      </c>
      <c r="J155" s="192">
        <f>H155/H151</f>
        <v>0.57008132894964525</v>
      </c>
    </row>
    <row r="156" spans="2:10" x14ac:dyDescent="0.25">
      <c r="B156" s="194" t="s">
        <v>112</v>
      </c>
      <c r="C156" s="195">
        <v>117</v>
      </c>
      <c r="D156" s="195">
        <v>941</v>
      </c>
      <c r="E156" s="195">
        <v>1342</v>
      </c>
      <c r="F156" s="195">
        <v>1504</v>
      </c>
      <c r="G156" s="195">
        <v>1477</v>
      </c>
      <c r="H156" s="195">
        <v>1458</v>
      </c>
      <c r="I156" s="196">
        <f t="shared" si="21"/>
        <v>-1.2863913337846977E-2</v>
      </c>
      <c r="J156" s="196">
        <f>H156/H151</f>
        <v>0.12614639210936149</v>
      </c>
    </row>
    <row r="157" spans="2:10" x14ac:dyDescent="0.25">
      <c r="B157" s="194" t="s">
        <v>115</v>
      </c>
      <c r="C157" s="195">
        <v>49</v>
      </c>
      <c r="D157" s="195">
        <v>1572</v>
      </c>
      <c r="E157" s="195">
        <v>984</v>
      </c>
      <c r="F157" s="195">
        <v>1282</v>
      </c>
      <c r="G157" s="195">
        <v>1163</v>
      </c>
      <c r="H157" s="195">
        <v>1361</v>
      </c>
      <c r="I157" s="196">
        <f t="shared" si="21"/>
        <v>0.17024935511607908</v>
      </c>
      <c r="J157" s="196">
        <f>H157/H151</f>
        <v>0.11775393666724347</v>
      </c>
    </row>
    <row r="158" spans="2:10" x14ac:dyDescent="0.25">
      <c r="B158" s="194" t="s">
        <v>118</v>
      </c>
      <c r="C158" s="195">
        <v>69</v>
      </c>
      <c r="D158" s="195">
        <v>682</v>
      </c>
      <c r="E158" s="195">
        <v>467</v>
      </c>
      <c r="F158" s="195">
        <v>1019</v>
      </c>
      <c r="G158" s="195">
        <v>1302</v>
      </c>
      <c r="H158" s="195">
        <v>1576</v>
      </c>
      <c r="I158" s="196">
        <f t="shared" si="21"/>
        <v>0.21044546850998458</v>
      </c>
      <c r="J158" s="196">
        <f>H158/H151</f>
        <v>0.13635577089461845</v>
      </c>
    </row>
    <row r="159" spans="2:10" x14ac:dyDescent="0.25">
      <c r="B159" s="194" t="s">
        <v>125</v>
      </c>
      <c r="C159" s="195">
        <v>1</v>
      </c>
      <c r="D159" s="195">
        <v>140</v>
      </c>
      <c r="E159" s="195">
        <v>181</v>
      </c>
      <c r="F159" s="195">
        <v>188</v>
      </c>
      <c r="G159" s="195">
        <v>276</v>
      </c>
      <c r="H159" s="195">
        <v>221</v>
      </c>
      <c r="I159" s="196">
        <f t="shared" si="21"/>
        <v>-0.19927536231884058</v>
      </c>
      <c r="J159" s="196">
        <f>H159/H151</f>
        <v>1.9120955182557537E-2</v>
      </c>
    </row>
    <row r="160" spans="2:10" x14ac:dyDescent="0.25">
      <c r="B160" s="194" t="s">
        <v>121</v>
      </c>
      <c r="C160" s="195">
        <v>74</v>
      </c>
      <c r="D160" s="195">
        <v>151</v>
      </c>
      <c r="E160" s="195">
        <v>261</v>
      </c>
      <c r="F160" s="195">
        <v>347</v>
      </c>
      <c r="G160" s="195">
        <v>269</v>
      </c>
      <c r="H160" s="195">
        <v>234</v>
      </c>
      <c r="I160" s="196">
        <f t="shared" si="21"/>
        <v>-0.13011152416356875</v>
      </c>
      <c r="J160" s="196">
        <f>H160/H151</f>
        <v>2.0245717252119745E-2</v>
      </c>
    </row>
    <row r="161" spans="2:10" x14ac:dyDescent="0.25">
      <c r="B161" s="194" t="s">
        <v>130</v>
      </c>
      <c r="C161" s="195">
        <v>1</v>
      </c>
      <c r="D161" s="195">
        <v>77</v>
      </c>
      <c r="E161" s="195">
        <v>32</v>
      </c>
      <c r="F161" s="195">
        <v>22</v>
      </c>
      <c r="G161" s="195">
        <v>16</v>
      </c>
      <c r="H161" s="195">
        <v>28</v>
      </c>
      <c r="I161" s="196">
        <f t="shared" si="21"/>
        <v>0.75</v>
      </c>
      <c r="J161" s="196">
        <f>H161/H151</f>
        <v>2.4225644575186019E-3</v>
      </c>
    </row>
    <row r="162" spans="2:10" x14ac:dyDescent="0.25">
      <c r="B162" s="194" t="s">
        <v>133</v>
      </c>
      <c r="C162" s="195">
        <v>6</v>
      </c>
      <c r="D162" s="195">
        <v>59</v>
      </c>
      <c r="E162" s="195">
        <v>52</v>
      </c>
      <c r="F162" s="195">
        <v>59</v>
      </c>
      <c r="G162" s="195">
        <v>50</v>
      </c>
      <c r="H162" s="195">
        <v>42</v>
      </c>
      <c r="I162" s="196">
        <f t="shared" si="21"/>
        <v>-0.16000000000000003</v>
      </c>
      <c r="J162" s="196">
        <f>H162/H151</f>
        <v>3.6338466862779026E-3</v>
      </c>
    </row>
    <row r="163" spans="2:10" x14ac:dyDescent="0.25">
      <c r="B163" s="199" t="s">
        <v>147</v>
      </c>
      <c r="C163" s="200">
        <f t="shared" ref="C163:H163" si="22">C155-SUM(C156:C162)</f>
        <v>255</v>
      </c>
      <c r="D163" s="200">
        <f t="shared" si="22"/>
        <v>1012</v>
      </c>
      <c r="E163" s="200">
        <f t="shared" si="22"/>
        <v>922</v>
      </c>
      <c r="F163" s="200">
        <f t="shared" si="22"/>
        <v>1556</v>
      </c>
      <c r="G163" s="200">
        <f t="shared" si="22"/>
        <v>1801</v>
      </c>
      <c r="H163" s="200">
        <f t="shared" si="22"/>
        <v>1669</v>
      </c>
      <c r="I163" s="201">
        <f t="shared" si="21"/>
        <v>-7.3292615213770174E-2</v>
      </c>
      <c r="J163" s="201">
        <f>H163/H151</f>
        <v>0.14440214569994808</v>
      </c>
    </row>
    <row r="164" spans="2:10" x14ac:dyDescent="0.25">
      <c r="C164" s="103"/>
      <c r="D164" s="103"/>
      <c r="E164" s="103"/>
      <c r="F164" s="103"/>
      <c r="G164" s="103"/>
      <c r="H164" s="103"/>
      <c r="I164" s="103"/>
    </row>
    <row r="165" spans="2:10" x14ac:dyDescent="0.25">
      <c r="B165" s="131" t="s">
        <v>57</v>
      </c>
      <c r="C165" s="131"/>
      <c r="D165" s="131"/>
      <c r="E165" s="131"/>
      <c r="F165" s="131"/>
      <c r="G165" s="131"/>
      <c r="H165" s="131"/>
      <c r="I165" s="131"/>
      <c r="J165" s="131"/>
    </row>
  </sheetData>
  <mergeCells count="3">
    <mergeCell ref="B6:J6"/>
    <mergeCell ref="M6:T6"/>
    <mergeCell ref="C8:J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27FA5-B5A2-47DB-B360-69174FBEF644}">
  <sheetPr>
    <tabColor theme="7" tint="0.79998168889431442"/>
    <pageSetUpPr fitToPage="1"/>
  </sheetPr>
  <dimension ref="A1:Y163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  <col min="16" max="25" width="11.42578125" hidden="1" customWidth="1"/>
  </cols>
  <sheetData>
    <row r="1" spans="1:25" ht="42.75" customHeight="1" x14ac:dyDescent="0.25"/>
    <row r="4" spans="1:25" ht="42" customHeight="1" thickBot="1" x14ac:dyDescent="0.3">
      <c r="B4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73"/>
      <c r="L4" s="173"/>
      <c r="M4" s="173"/>
      <c r="P4" s="172" t="s">
        <v>264</v>
      </c>
      <c r="Q4" s="173"/>
      <c r="R4" s="173"/>
      <c r="S4" s="173"/>
      <c r="T4" s="173"/>
      <c r="U4" s="173"/>
      <c r="V4" s="173"/>
      <c r="W4" s="173"/>
      <c r="X4" s="173"/>
      <c r="Y4" s="173"/>
    </row>
    <row r="5" spans="1:25" ht="6" customHeight="1" x14ac:dyDescent="0.25"/>
    <row r="6" spans="1:25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L6" s="204"/>
      <c r="M6" s="204"/>
      <c r="P6" s="174"/>
      <c r="Q6" s="203" t="s">
        <v>45</v>
      </c>
      <c r="R6" s="204"/>
      <c r="S6" s="204"/>
      <c r="T6" s="204"/>
      <c r="U6" s="204"/>
      <c r="V6" s="204"/>
      <c r="W6" s="204"/>
      <c r="X6" s="204"/>
      <c r="Y6" s="204"/>
    </row>
    <row r="7" spans="1:25" s="177" customFormat="1" ht="72" customHeight="1" x14ac:dyDescent="0.25">
      <c r="B7" s="178"/>
      <c r="C7" s="205" t="s">
        <v>265</v>
      </c>
      <c r="D7" s="205" t="s">
        <v>266</v>
      </c>
      <c r="E7" s="205" t="s">
        <v>267</v>
      </c>
      <c r="F7" s="205" t="s">
        <v>268</v>
      </c>
      <c r="G7" s="205" t="s">
        <v>269</v>
      </c>
      <c r="H7" s="205" t="s">
        <v>270</v>
      </c>
      <c r="I7" s="206" t="str">
        <f>CONCATENATE("var. ",RIGHT(H7,2),"/",RIGHT(G7,2))</f>
        <v>var. 25/24</v>
      </c>
      <c r="J7" s="206" t="str">
        <f>CONCATENATE("var. ",RIGHT(H7,2),"/",RIGHT(D7,2))</f>
        <v>var. 25/21</v>
      </c>
      <c r="K7" s="205" t="str">
        <f>CONCATENATE("dif. ",RIGHT(H7,2),"/",RIGHT(G7,2))</f>
        <v>dif. 25/24</v>
      </c>
      <c r="L7" s="205" t="str">
        <f>CONCATENATE("dif. ",RIGHT(H7,2),"/",RIGHT(D7,2))</f>
        <v>dif. 25/21</v>
      </c>
      <c r="M7" s="206" t="str">
        <f>CONCATENATE("Cuota s/ total lugares de residencia ",RIGHT(H7,4))</f>
        <v>Cuota s/ total lugares de residencia 2025</v>
      </c>
      <c r="P7" s="178"/>
      <c r="Q7" s="205" t="s">
        <v>265</v>
      </c>
      <c r="R7" s="205" t="s">
        <v>266</v>
      </c>
      <c r="S7" s="205" t="s">
        <v>267</v>
      </c>
      <c r="T7" s="205" t="s">
        <v>268</v>
      </c>
      <c r="U7" s="205" t="s">
        <v>269</v>
      </c>
      <c r="V7" s="205" t="s">
        <v>270</v>
      </c>
      <c r="W7" s="206" t="str">
        <f>CONCATENATE("var. ",RIGHT(V7,2),"/",RIGHT(U7,2))</f>
        <v>var. 25/24</v>
      </c>
      <c r="X7" s="205" t="str">
        <f>CONCATENATE("dif. ",RIGHT(V7,2),"/",RIGHT(U7,2))</f>
        <v>dif. 25/24</v>
      </c>
      <c r="Y7" s="206" t="str">
        <f>CONCATENATE("Cuota s/ total lugares de residencia ",RIGHT(V7,4))</f>
        <v>Cuota s/ total lugares de residencia 2025</v>
      </c>
    </row>
    <row r="8" spans="1:25" x14ac:dyDescent="0.25">
      <c r="A8" s="1"/>
      <c r="B8" s="183" t="s">
        <v>45</v>
      </c>
      <c r="C8" s="184"/>
      <c r="D8" s="184"/>
      <c r="E8" s="184"/>
      <c r="F8" s="184"/>
      <c r="G8" s="184"/>
      <c r="H8" s="185"/>
      <c r="I8" s="185"/>
      <c r="J8" s="185"/>
      <c r="K8" s="185"/>
      <c r="L8" s="184"/>
      <c r="M8" s="184"/>
      <c r="P8" s="186" t="s">
        <v>51</v>
      </c>
      <c r="Q8" s="184"/>
      <c r="R8" s="184"/>
      <c r="S8" s="184"/>
      <c r="T8" s="184"/>
      <c r="U8" s="184"/>
      <c r="V8" s="185"/>
      <c r="W8" s="185"/>
      <c r="X8" s="185"/>
      <c r="Y8" s="184"/>
    </row>
    <row r="9" spans="1:25" x14ac:dyDescent="0.25">
      <c r="A9" s="1" t="s">
        <v>98</v>
      </c>
      <c r="B9" s="187" t="s">
        <v>70</v>
      </c>
      <c r="C9" s="209">
        <v>1407412</v>
      </c>
      <c r="D9" s="209">
        <v>1678957</v>
      </c>
      <c r="E9" s="209">
        <v>3924823</v>
      </c>
      <c r="F9" s="209">
        <v>4320832</v>
      </c>
      <c r="G9" s="209">
        <v>4588197</v>
      </c>
      <c r="H9" s="209">
        <v>4565135</v>
      </c>
      <c r="I9" s="210">
        <f>IFERROR(H9/G9-1,"-")</f>
        <v>-5.0263752842347742E-3</v>
      </c>
      <c r="J9" s="210">
        <f>IFERROR(H9/D9-1,"-")</f>
        <v>1.719030326565838</v>
      </c>
      <c r="K9" s="209">
        <f>H9-G9</f>
        <v>-23062</v>
      </c>
      <c r="L9" s="209">
        <f>H9-D9</f>
        <v>2886178</v>
      </c>
      <c r="M9" s="210">
        <f t="shared" ref="M9:M21" si="0">H9/H$9</f>
        <v>1</v>
      </c>
      <c r="P9" s="187" t="s">
        <v>70</v>
      </c>
      <c r="Q9" s="209">
        <v>19059</v>
      </c>
      <c r="R9" s="209">
        <v>24453</v>
      </c>
      <c r="S9" s="209">
        <v>41481</v>
      </c>
      <c r="T9" s="209">
        <v>48608</v>
      </c>
      <c r="U9" s="209">
        <v>46696</v>
      </c>
      <c r="V9" s="209">
        <v>46403</v>
      </c>
      <c r="W9" s="210">
        <f>IFERROR(V9/U9-1,"-")</f>
        <v>-6.2746273770772909E-3</v>
      </c>
      <c r="X9" s="209">
        <f>V9-U9</f>
        <v>-293</v>
      </c>
      <c r="Y9" s="210">
        <f t="shared" ref="Y9:Y21" si="1">V9/V$9</f>
        <v>1</v>
      </c>
    </row>
    <row r="10" spans="1:25" x14ac:dyDescent="0.25">
      <c r="A10" s="193" t="s">
        <v>105</v>
      </c>
      <c r="B10" s="190" t="s">
        <v>99</v>
      </c>
      <c r="C10" s="191">
        <v>408177</v>
      </c>
      <c r="D10" s="191">
        <v>686635</v>
      </c>
      <c r="E10" s="191">
        <v>883151</v>
      </c>
      <c r="F10" s="191">
        <v>913897</v>
      </c>
      <c r="G10" s="191">
        <v>920763</v>
      </c>
      <c r="H10" s="191">
        <v>935557</v>
      </c>
      <c r="I10" s="211">
        <f>IFERROR(H10/G10-1,"-")</f>
        <v>1.6067109560223392E-2</v>
      </c>
      <c r="J10" s="192">
        <f t="shared" ref="J10:J21" si="2">IFERROR(H10/D10-1,"-")</f>
        <v>0.36252448535247983</v>
      </c>
      <c r="K10" s="191">
        <f t="shared" ref="K10:K20" si="3">H10-G10</f>
        <v>14794</v>
      </c>
      <c r="L10" s="191">
        <f t="shared" ref="L10:L21" si="4">H10-D10</f>
        <v>248922</v>
      </c>
      <c r="M10" s="192">
        <f t="shared" si="0"/>
        <v>0.20493523192632856</v>
      </c>
      <c r="P10" s="190" t="s">
        <v>99</v>
      </c>
      <c r="Q10" s="191">
        <v>12382</v>
      </c>
      <c r="R10" s="191">
        <v>16085</v>
      </c>
      <c r="S10" s="191">
        <v>27294</v>
      </c>
      <c r="T10" s="191">
        <v>32685</v>
      </c>
      <c r="U10" s="191">
        <v>29315</v>
      </c>
      <c r="V10" s="191">
        <v>29490</v>
      </c>
      <c r="W10" s="211">
        <f>IFERROR(V10/U10-1,"-")</f>
        <v>5.969640115981667E-3</v>
      </c>
      <c r="X10" s="190">
        <f t="shared" ref="X10:X20" si="5">V10-U10</f>
        <v>175</v>
      </c>
      <c r="Y10" s="192">
        <f t="shared" si="1"/>
        <v>0.63551925522056762</v>
      </c>
    </row>
    <row r="11" spans="1:25" x14ac:dyDescent="0.25">
      <c r="A11" s="193" t="s">
        <v>102</v>
      </c>
      <c r="B11" s="194" t="s">
        <v>105</v>
      </c>
      <c r="C11" s="195">
        <v>179710</v>
      </c>
      <c r="D11" s="195">
        <v>365080</v>
      </c>
      <c r="E11" s="195">
        <v>374364</v>
      </c>
      <c r="F11" s="195">
        <v>380988</v>
      </c>
      <c r="G11" s="195">
        <v>371208</v>
      </c>
      <c r="H11" s="195">
        <v>372245</v>
      </c>
      <c r="I11" s="212">
        <f>IFERROR(H11/G11-1,"-")</f>
        <v>2.7935820348699014E-3</v>
      </c>
      <c r="J11" s="196">
        <f t="shared" si="2"/>
        <v>1.962583543332963E-2</v>
      </c>
      <c r="K11" s="195">
        <f t="shared" si="3"/>
        <v>1037</v>
      </c>
      <c r="L11" s="195">
        <f t="shared" si="4"/>
        <v>7165</v>
      </c>
      <c r="M11" s="196">
        <f t="shared" si="0"/>
        <v>8.1540852570624961E-2</v>
      </c>
      <c r="P11" s="194" t="s">
        <v>105</v>
      </c>
      <c r="Q11" s="195">
        <v>6489</v>
      </c>
      <c r="R11" s="195">
        <v>8211</v>
      </c>
      <c r="S11" s="195">
        <v>12915</v>
      </c>
      <c r="T11" s="195">
        <v>10196</v>
      </c>
      <c r="U11" s="195">
        <v>9167</v>
      </c>
      <c r="V11" s="195">
        <v>10910</v>
      </c>
      <c r="W11" s="212">
        <f>IFERROR(V11/U11-1,"-")</f>
        <v>0.19013854041671219</v>
      </c>
      <c r="X11" s="194">
        <f t="shared" si="5"/>
        <v>1743</v>
      </c>
      <c r="Y11" s="196">
        <f>V11/V$9</f>
        <v>0.23511410900157317</v>
      </c>
    </row>
    <row r="12" spans="1:25" x14ac:dyDescent="0.25">
      <c r="A12" s="1"/>
      <c r="B12" s="194" t="s">
        <v>102</v>
      </c>
      <c r="C12" s="195">
        <v>228467</v>
      </c>
      <c r="D12" s="195">
        <v>321555</v>
      </c>
      <c r="E12" s="195">
        <v>508787</v>
      </c>
      <c r="F12" s="195">
        <v>532909</v>
      </c>
      <c r="G12" s="195">
        <v>549555</v>
      </c>
      <c r="H12" s="195">
        <v>563312</v>
      </c>
      <c r="I12" s="212">
        <f>IFERROR(H12/G12-1,"-")</f>
        <v>2.5032981230268092E-2</v>
      </c>
      <c r="J12" s="196">
        <f t="shared" si="2"/>
        <v>0.75183716627015595</v>
      </c>
      <c r="K12" s="195">
        <f t="shared" si="3"/>
        <v>13757</v>
      </c>
      <c r="L12" s="195">
        <f t="shared" si="4"/>
        <v>241757</v>
      </c>
      <c r="M12" s="196">
        <f t="shared" si="0"/>
        <v>0.1233943793557036</v>
      </c>
      <c r="P12" s="194" t="s">
        <v>102</v>
      </c>
      <c r="Q12" s="195">
        <v>5893</v>
      </c>
      <c r="R12" s="195">
        <v>7874</v>
      </c>
      <c r="S12" s="195">
        <v>14379</v>
      </c>
      <c r="T12" s="195">
        <v>22489</v>
      </c>
      <c r="U12" s="195">
        <v>20148</v>
      </c>
      <c r="V12" s="195">
        <v>18580</v>
      </c>
      <c r="W12" s="212">
        <f>IFERROR(V12/U12-1,"-")</f>
        <v>-7.7824101647806287E-2</v>
      </c>
      <c r="X12" s="194">
        <f t="shared" si="5"/>
        <v>-1568</v>
      </c>
      <c r="Y12" s="196">
        <f t="shared" si="1"/>
        <v>0.40040514621899448</v>
      </c>
    </row>
    <row r="13" spans="1:25" s="74" customFormat="1" x14ac:dyDescent="0.25">
      <c r="B13" s="190" t="s">
        <v>109</v>
      </c>
      <c r="C13" s="191">
        <v>999235</v>
      </c>
      <c r="D13" s="191">
        <v>992322</v>
      </c>
      <c r="E13" s="191">
        <v>3041672</v>
      </c>
      <c r="F13" s="191">
        <v>3406935</v>
      </c>
      <c r="G13" s="191">
        <v>3667434</v>
      </c>
      <c r="H13" s="191">
        <v>3629578</v>
      </c>
      <c r="I13" s="211">
        <f>IFERROR(H13/G13-1,"-")</f>
        <v>-1.0322203480689796E-2</v>
      </c>
      <c r="J13" s="192">
        <f t="shared" si="2"/>
        <v>2.6576615251904121</v>
      </c>
      <c r="K13" s="191">
        <f t="shared" si="3"/>
        <v>-37856</v>
      </c>
      <c r="L13" s="191">
        <f t="shared" si="4"/>
        <v>2637256</v>
      </c>
      <c r="M13" s="192">
        <f t="shared" si="0"/>
        <v>0.79506476807367144</v>
      </c>
      <c r="P13" s="190" t="s">
        <v>109</v>
      </c>
      <c r="Q13" s="191">
        <v>6677</v>
      </c>
      <c r="R13" s="191">
        <v>8368</v>
      </c>
      <c r="S13" s="191">
        <v>14187</v>
      </c>
      <c r="T13" s="191">
        <v>15923</v>
      </c>
      <c r="U13" s="191">
        <v>17381</v>
      </c>
      <c r="V13" s="191">
        <v>16913</v>
      </c>
      <c r="W13" s="211">
        <f>IFERROR(V13/U13-1,"-")</f>
        <v>-2.6925953627524257E-2</v>
      </c>
      <c r="X13" s="190">
        <f t="shared" si="5"/>
        <v>-468</v>
      </c>
      <c r="Y13" s="192">
        <f t="shared" si="1"/>
        <v>0.36448074477943238</v>
      </c>
    </row>
    <row r="14" spans="1:25" s="74" customFormat="1" x14ac:dyDescent="0.25">
      <c r="B14" s="194" t="s">
        <v>112</v>
      </c>
      <c r="C14" s="195">
        <v>385012</v>
      </c>
      <c r="D14" s="195">
        <v>261315</v>
      </c>
      <c r="E14" s="195">
        <v>1431126</v>
      </c>
      <c r="F14" s="195">
        <v>1624627</v>
      </c>
      <c r="G14" s="195">
        <v>1752831</v>
      </c>
      <c r="H14" s="195">
        <v>1752670</v>
      </c>
      <c r="I14" s="212">
        <f t="shared" ref="I14:I21" si="6">IFERROR(H14/G14-1,"-")</f>
        <v>-9.1851410660814814E-5</v>
      </c>
      <c r="J14" s="196">
        <f t="shared" si="2"/>
        <v>5.7071159328779446</v>
      </c>
      <c r="K14" s="195">
        <f t="shared" si="3"/>
        <v>-161</v>
      </c>
      <c r="L14" s="195">
        <f t="shared" si="4"/>
        <v>1491355</v>
      </c>
      <c r="M14" s="196">
        <f t="shared" si="0"/>
        <v>0.3839251194104884</v>
      </c>
      <c r="P14" s="194" t="s">
        <v>112</v>
      </c>
      <c r="Q14" s="195">
        <v>1092</v>
      </c>
      <c r="R14" s="195">
        <v>509</v>
      </c>
      <c r="S14" s="195">
        <v>1836</v>
      </c>
      <c r="T14" s="195">
        <v>2198</v>
      </c>
      <c r="U14" s="195">
        <v>2450</v>
      </c>
      <c r="V14" s="195">
        <v>2046</v>
      </c>
      <c r="W14" s="212">
        <f t="shared" ref="W14:W21" si="7">IFERROR(V14/U14-1,"-")</f>
        <v>-0.16489795918367345</v>
      </c>
      <c r="X14" s="194">
        <f t="shared" si="5"/>
        <v>-404</v>
      </c>
      <c r="Y14" s="196">
        <f t="shared" si="1"/>
        <v>4.4091976811844062E-2</v>
      </c>
    </row>
    <row r="15" spans="1:25" x14ac:dyDescent="0.25">
      <c r="A15" s="1"/>
      <c r="B15" s="194" t="s">
        <v>115</v>
      </c>
      <c r="C15" s="195">
        <v>124078</v>
      </c>
      <c r="D15" s="195">
        <v>143525</v>
      </c>
      <c r="E15" s="195">
        <v>300252</v>
      </c>
      <c r="F15" s="195">
        <v>340777</v>
      </c>
      <c r="G15" s="195">
        <v>356314</v>
      </c>
      <c r="H15" s="195">
        <v>349275</v>
      </c>
      <c r="I15" s="212">
        <f t="shared" si="6"/>
        <v>-1.9755047514271151E-2</v>
      </c>
      <c r="J15" s="196">
        <f t="shared" si="2"/>
        <v>1.4335481623410558</v>
      </c>
      <c r="K15" s="195">
        <f t="shared" si="3"/>
        <v>-7039</v>
      </c>
      <c r="L15" s="195">
        <f t="shared" si="4"/>
        <v>205750</v>
      </c>
      <c r="M15" s="196">
        <f t="shared" si="0"/>
        <v>7.6509237952437331E-2</v>
      </c>
      <c r="P15" s="194" t="s">
        <v>115</v>
      </c>
      <c r="Q15" s="195">
        <v>1239</v>
      </c>
      <c r="R15" s="195">
        <v>1578</v>
      </c>
      <c r="S15" s="195">
        <v>2714</v>
      </c>
      <c r="T15" s="195">
        <v>2893</v>
      </c>
      <c r="U15" s="195">
        <v>3315</v>
      </c>
      <c r="V15" s="195">
        <v>3003</v>
      </c>
      <c r="W15" s="212">
        <f t="shared" si="7"/>
        <v>-9.4117647058823528E-2</v>
      </c>
      <c r="X15" s="194">
        <f t="shared" si="5"/>
        <v>-312</v>
      </c>
      <c r="Y15" s="196">
        <f t="shared" si="1"/>
        <v>6.4715643385125962E-2</v>
      </c>
    </row>
    <row r="16" spans="1:25" x14ac:dyDescent="0.25">
      <c r="A16" s="1"/>
      <c r="B16" s="194" t="s">
        <v>118</v>
      </c>
      <c r="C16" s="195">
        <v>52755</v>
      </c>
      <c r="D16" s="195">
        <v>98226</v>
      </c>
      <c r="E16" s="195">
        <v>164388</v>
      </c>
      <c r="F16" s="195">
        <v>185624</v>
      </c>
      <c r="G16" s="195">
        <v>199100</v>
      </c>
      <c r="H16" s="195">
        <v>190168</v>
      </c>
      <c r="I16" s="212">
        <f t="shared" si="6"/>
        <v>-4.4861878453038684E-2</v>
      </c>
      <c r="J16" s="196">
        <f t="shared" si="2"/>
        <v>0.93602508500804271</v>
      </c>
      <c r="K16" s="195">
        <f t="shared" si="3"/>
        <v>-8932</v>
      </c>
      <c r="L16" s="195">
        <f t="shared" si="4"/>
        <v>91942</v>
      </c>
      <c r="M16" s="196">
        <f t="shared" si="0"/>
        <v>4.1656599421484794E-2</v>
      </c>
      <c r="P16" s="194" t="s">
        <v>118</v>
      </c>
      <c r="Q16" s="195">
        <v>1648</v>
      </c>
      <c r="R16" s="195">
        <v>2867</v>
      </c>
      <c r="S16" s="195">
        <v>2766</v>
      </c>
      <c r="T16" s="195">
        <v>3129</v>
      </c>
      <c r="U16" s="195">
        <v>3038</v>
      </c>
      <c r="V16" s="195">
        <v>3024</v>
      </c>
      <c r="W16" s="212">
        <f t="shared" si="7"/>
        <v>-4.6082949308755561E-3</v>
      </c>
      <c r="X16" s="194">
        <f t="shared" si="5"/>
        <v>-14</v>
      </c>
      <c r="Y16" s="196">
        <f t="shared" si="1"/>
        <v>6.5168200331875092E-2</v>
      </c>
    </row>
    <row r="17" spans="1:25" x14ac:dyDescent="0.25">
      <c r="A17" s="1"/>
      <c r="B17" s="194" t="s">
        <v>125</v>
      </c>
      <c r="C17" s="195">
        <v>36756</v>
      </c>
      <c r="D17" s="195">
        <v>63269</v>
      </c>
      <c r="E17" s="195">
        <v>145398</v>
      </c>
      <c r="F17" s="195">
        <v>138315</v>
      </c>
      <c r="G17" s="195">
        <v>147784</v>
      </c>
      <c r="H17" s="195">
        <v>135948</v>
      </c>
      <c r="I17" s="212">
        <f t="shared" si="6"/>
        <v>-8.0089860878038266E-2</v>
      </c>
      <c r="J17" s="196">
        <f t="shared" si="2"/>
        <v>1.1487300257630118</v>
      </c>
      <c r="K17" s="195">
        <f t="shared" si="3"/>
        <v>-11836</v>
      </c>
      <c r="L17" s="195">
        <f t="shared" si="4"/>
        <v>72679</v>
      </c>
      <c r="M17" s="196">
        <f t="shared" si="0"/>
        <v>2.9779623165579989E-2</v>
      </c>
      <c r="P17" s="194" t="s">
        <v>125</v>
      </c>
      <c r="Q17" s="195">
        <v>284</v>
      </c>
      <c r="R17" s="195">
        <v>208</v>
      </c>
      <c r="S17" s="195">
        <v>958</v>
      </c>
      <c r="T17" s="195">
        <v>711</v>
      </c>
      <c r="U17" s="195">
        <v>780</v>
      </c>
      <c r="V17" s="195">
        <v>720</v>
      </c>
      <c r="W17" s="212">
        <f t="shared" si="7"/>
        <v>-7.6923076923076872E-2</v>
      </c>
      <c r="X17" s="194">
        <f t="shared" si="5"/>
        <v>-60</v>
      </c>
      <c r="Y17" s="196">
        <f t="shared" si="1"/>
        <v>1.5516238174255974E-2</v>
      </c>
    </row>
    <row r="18" spans="1:25" x14ac:dyDescent="0.25">
      <c r="A18" s="1"/>
      <c r="B18" s="194" t="s">
        <v>121</v>
      </c>
      <c r="C18" s="195">
        <v>51013</v>
      </c>
      <c r="D18" s="195">
        <v>61467</v>
      </c>
      <c r="E18" s="195">
        <v>119837</v>
      </c>
      <c r="F18" s="195">
        <v>123591</v>
      </c>
      <c r="G18" s="195">
        <v>129349</v>
      </c>
      <c r="H18" s="195">
        <v>118889</v>
      </c>
      <c r="I18" s="212">
        <f t="shared" si="6"/>
        <v>-8.0866492976366278E-2</v>
      </c>
      <c r="J18" s="196">
        <f t="shared" si="2"/>
        <v>0.93419233084419284</v>
      </c>
      <c r="K18" s="195">
        <f t="shared" si="3"/>
        <v>-10460</v>
      </c>
      <c r="L18" s="195">
        <f t="shared" si="4"/>
        <v>57422</v>
      </c>
      <c r="M18" s="196">
        <f t="shared" si="0"/>
        <v>2.6042822391889833E-2</v>
      </c>
      <c r="P18" s="194" t="s">
        <v>121</v>
      </c>
      <c r="Q18" s="195">
        <v>256</v>
      </c>
      <c r="R18" s="195">
        <v>334</v>
      </c>
      <c r="S18" s="195">
        <v>560</v>
      </c>
      <c r="T18" s="195">
        <v>466</v>
      </c>
      <c r="U18" s="195">
        <v>696</v>
      </c>
      <c r="V18" s="195">
        <v>670</v>
      </c>
      <c r="W18" s="212">
        <f t="shared" si="7"/>
        <v>-3.7356321839080442E-2</v>
      </c>
      <c r="X18" s="194">
        <f t="shared" si="5"/>
        <v>-26</v>
      </c>
      <c r="Y18" s="196">
        <f t="shared" si="1"/>
        <v>1.4438721634377087E-2</v>
      </c>
    </row>
    <row r="19" spans="1:25" x14ac:dyDescent="0.25">
      <c r="A19" s="193" t="s">
        <v>146</v>
      </c>
      <c r="B19" s="194" t="s">
        <v>130</v>
      </c>
      <c r="C19" s="195">
        <v>28587</v>
      </c>
      <c r="D19" s="195">
        <v>9335</v>
      </c>
      <c r="E19" s="195">
        <v>44415</v>
      </c>
      <c r="F19" s="195">
        <v>51790</v>
      </c>
      <c r="G19" s="195">
        <v>47305</v>
      </c>
      <c r="H19" s="195">
        <v>46047</v>
      </c>
      <c r="I19" s="212">
        <f t="shared" si="6"/>
        <v>-2.6593383363280876E-2</v>
      </c>
      <c r="J19" s="196">
        <f t="shared" si="2"/>
        <v>3.9327262988752008</v>
      </c>
      <c r="K19" s="195">
        <f t="shared" si="3"/>
        <v>-1258</v>
      </c>
      <c r="L19" s="195">
        <f t="shared" si="4"/>
        <v>36712</v>
      </c>
      <c r="M19" s="196">
        <f t="shared" si="0"/>
        <v>1.0086667754622809E-2</v>
      </c>
      <c r="P19" s="194" t="s">
        <v>130</v>
      </c>
      <c r="Q19" s="195">
        <v>114</v>
      </c>
      <c r="R19" s="195">
        <v>51</v>
      </c>
      <c r="S19" s="195">
        <v>236</v>
      </c>
      <c r="T19" s="195">
        <v>112</v>
      </c>
      <c r="U19" s="195">
        <v>188</v>
      </c>
      <c r="V19" s="195">
        <v>161</v>
      </c>
      <c r="W19" s="212">
        <f t="shared" si="7"/>
        <v>-0.1436170212765957</v>
      </c>
      <c r="X19" s="194">
        <f t="shared" si="5"/>
        <v>-27</v>
      </c>
      <c r="Y19" s="196">
        <f t="shared" si="1"/>
        <v>3.4696032584100164E-3</v>
      </c>
    </row>
    <row r="20" spans="1:25" x14ac:dyDescent="0.25">
      <c r="A20" s="198" t="s">
        <v>147</v>
      </c>
      <c r="B20" s="194" t="s">
        <v>133</v>
      </c>
      <c r="C20" s="195">
        <v>41109</v>
      </c>
      <c r="D20" s="195">
        <v>6961</v>
      </c>
      <c r="E20" s="195">
        <v>33983</v>
      </c>
      <c r="F20" s="195">
        <v>47849</v>
      </c>
      <c r="G20" s="195">
        <v>47652</v>
      </c>
      <c r="H20" s="195">
        <v>38503</v>
      </c>
      <c r="I20" s="212">
        <f t="shared" si="6"/>
        <v>-0.19199613867203891</v>
      </c>
      <c r="J20" s="196">
        <f t="shared" si="2"/>
        <v>4.5312455107024849</v>
      </c>
      <c r="K20" s="195">
        <f t="shared" si="3"/>
        <v>-9149</v>
      </c>
      <c r="L20" s="195">
        <f t="shared" si="4"/>
        <v>31542</v>
      </c>
      <c r="M20" s="196">
        <f t="shared" si="0"/>
        <v>8.4341426923847818E-3</v>
      </c>
      <c r="P20" s="194" t="s">
        <v>133</v>
      </c>
      <c r="Q20" s="195">
        <v>70</v>
      </c>
      <c r="R20" s="195">
        <v>67</v>
      </c>
      <c r="S20" s="195">
        <v>125</v>
      </c>
      <c r="T20" s="195">
        <v>206</v>
      </c>
      <c r="U20" s="195">
        <v>308</v>
      </c>
      <c r="V20" s="195">
        <v>177</v>
      </c>
      <c r="W20" s="212">
        <f t="shared" si="7"/>
        <v>-0.42532467532467533</v>
      </c>
      <c r="X20" s="194">
        <f t="shared" si="5"/>
        <v>-131</v>
      </c>
      <c r="Y20" s="196">
        <f t="shared" si="1"/>
        <v>3.8144085511712606E-3</v>
      </c>
    </row>
    <row r="21" spans="1:25" x14ac:dyDescent="0.25">
      <c r="B21" s="199" t="s">
        <v>147</v>
      </c>
      <c r="C21" s="200">
        <f t="shared" ref="C21" si="8">C13-SUM(C14:C20)</f>
        <v>279925</v>
      </c>
      <c r="D21" s="200">
        <f t="shared" ref="D21:E21" si="9">D13-SUM(D14:D20)</f>
        <v>348224</v>
      </c>
      <c r="E21" s="200">
        <f t="shared" si="9"/>
        <v>802273</v>
      </c>
      <c r="F21" s="200">
        <f t="shared" ref="F21:H21" si="10">F13-SUM(F14:F20)</f>
        <v>894362</v>
      </c>
      <c r="G21" s="200">
        <f t="shared" si="10"/>
        <v>987099</v>
      </c>
      <c r="H21" s="200">
        <f t="shared" si="10"/>
        <v>998078</v>
      </c>
      <c r="I21" s="213">
        <f t="shared" si="6"/>
        <v>1.1122491259741851E-2</v>
      </c>
      <c r="J21" s="201">
        <f t="shared" si="2"/>
        <v>1.8661953225510017</v>
      </c>
      <c r="K21" s="200">
        <f>H21-G21</f>
        <v>10979</v>
      </c>
      <c r="L21" s="200">
        <f t="shared" si="4"/>
        <v>649854</v>
      </c>
      <c r="M21" s="201">
        <f t="shared" si="0"/>
        <v>0.21863055528478348</v>
      </c>
      <c r="P21" s="199" t="s">
        <v>147</v>
      </c>
      <c r="Q21" s="200">
        <f t="shared" ref="Q21:V21" si="11">Q13-SUM(Q14:Q20)</f>
        <v>1974</v>
      </c>
      <c r="R21" s="200">
        <f t="shared" si="11"/>
        <v>2754</v>
      </c>
      <c r="S21" s="200">
        <f t="shared" si="11"/>
        <v>4992</v>
      </c>
      <c r="T21" s="200">
        <f t="shared" si="11"/>
        <v>6208</v>
      </c>
      <c r="U21" s="200">
        <f t="shared" si="11"/>
        <v>6606</v>
      </c>
      <c r="V21" s="200">
        <f t="shared" si="11"/>
        <v>7112</v>
      </c>
      <c r="W21" s="213">
        <f t="shared" si="7"/>
        <v>7.6597033000302739E-2</v>
      </c>
      <c r="X21" s="199">
        <f>V21-U21</f>
        <v>506</v>
      </c>
      <c r="Y21" s="201">
        <f t="shared" si="1"/>
        <v>0.15326595263237291</v>
      </c>
    </row>
    <row r="22" spans="1:25" x14ac:dyDescent="0.25">
      <c r="B22" s="186" t="s">
        <v>46</v>
      </c>
      <c r="C22" s="184"/>
      <c r="D22" s="184"/>
      <c r="E22" s="184"/>
      <c r="F22" s="184"/>
      <c r="G22" s="184"/>
      <c r="H22" s="184"/>
      <c r="I22" s="185"/>
      <c r="J22" s="185"/>
      <c r="K22" s="185"/>
      <c r="L22" s="184"/>
      <c r="M22" s="184"/>
    </row>
    <row r="23" spans="1:25" x14ac:dyDescent="0.25">
      <c r="B23" s="187" t="s">
        <v>70</v>
      </c>
      <c r="C23" s="209">
        <v>464064</v>
      </c>
      <c r="D23" s="209">
        <v>644673</v>
      </c>
      <c r="E23" s="209">
        <v>1457395</v>
      </c>
      <c r="F23" s="209">
        <v>1572308</v>
      </c>
      <c r="G23" s="209">
        <v>1622538</v>
      </c>
      <c r="H23" s="209">
        <v>1550198</v>
      </c>
      <c r="I23" s="210">
        <f>IFERROR(H23/G23-1,"-")</f>
        <v>-4.4584471981549911E-2</v>
      </c>
      <c r="J23" s="210">
        <f>IFERROR(H23/D23-1,"-")</f>
        <v>1.4046268418252352</v>
      </c>
      <c r="K23" s="209">
        <f>H23-G23</f>
        <v>-72340</v>
      </c>
      <c r="L23" s="209">
        <f>H23-D23</f>
        <v>905525</v>
      </c>
      <c r="M23" s="210">
        <f t="shared" ref="M23:M35" si="12">H23/H$9</f>
        <v>0.33957330944210851</v>
      </c>
    </row>
    <row r="24" spans="1:25" x14ac:dyDescent="0.25">
      <c r="B24" s="190" t="s">
        <v>99</v>
      </c>
      <c r="C24" s="191">
        <v>91009</v>
      </c>
      <c r="D24" s="191">
        <v>225060</v>
      </c>
      <c r="E24" s="191">
        <v>184306</v>
      </c>
      <c r="F24" s="191">
        <v>161501</v>
      </c>
      <c r="G24" s="191">
        <v>142945</v>
      </c>
      <c r="H24" s="191">
        <v>131048</v>
      </c>
      <c r="I24" s="211">
        <f>IFERROR(H24/G24-1,"-")</f>
        <v>-8.3227814893840235E-2</v>
      </c>
      <c r="J24" s="192">
        <f t="shared" ref="J24:J35" si="13">IFERROR(H24/D24-1,"-")</f>
        <v>-0.41771971918599482</v>
      </c>
      <c r="K24" s="191">
        <f t="shared" ref="K24:K34" si="14">H24-G24</f>
        <v>-11897</v>
      </c>
      <c r="L24" s="191">
        <f t="shared" ref="L24:L35" si="15">H24-D24</f>
        <v>-94012</v>
      </c>
      <c r="M24" s="192">
        <f t="shared" si="12"/>
        <v>2.8706270460785936E-2</v>
      </c>
    </row>
    <row r="25" spans="1:25" x14ac:dyDescent="0.25">
      <c r="B25" s="194" t="s">
        <v>105</v>
      </c>
      <c r="C25" s="195">
        <v>52174</v>
      </c>
      <c r="D25" s="195">
        <v>117614</v>
      </c>
      <c r="E25" s="195">
        <v>78213</v>
      </c>
      <c r="F25" s="195">
        <v>68547</v>
      </c>
      <c r="G25" s="195">
        <v>54723</v>
      </c>
      <c r="H25" s="195">
        <v>61293</v>
      </c>
      <c r="I25" s="212">
        <f>IFERROR(H25/G25-1,"-")</f>
        <v>0.12005920728030262</v>
      </c>
      <c r="J25" s="196">
        <f t="shared" si="13"/>
        <v>-0.47886306052000616</v>
      </c>
      <c r="K25" s="195">
        <f t="shared" si="14"/>
        <v>6570</v>
      </c>
      <c r="L25" s="195">
        <f t="shared" si="15"/>
        <v>-56321</v>
      </c>
      <c r="M25" s="196">
        <f t="shared" si="12"/>
        <v>1.3426328027539163E-2</v>
      </c>
    </row>
    <row r="26" spans="1:25" x14ac:dyDescent="0.25">
      <c r="B26" s="194" t="s">
        <v>102</v>
      </c>
      <c r="C26" s="195">
        <v>38835</v>
      </c>
      <c r="D26" s="195">
        <v>107446</v>
      </c>
      <c r="E26" s="195">
        <v>106093</v>
      </c>
      <c r="F26" s="195">
        <v>92954</v>
      </c>
      <c r="G26" s="195">
        <v>88222</v>
      </c>
      <c r="H26" s="195">
        <v>69755</v>
      </c>
      <c r="I26" s="212">
        <f>IFERROR(H26/G26-1,"-")</f>
        <v>-0.20932420484686365</v>
      </c>
      <c r="J26" s="196">
        <f t="shared" si="13"/>
        <v>-0.35079016436163279</v>
      </c>
      <c r="K26" s="195">
        <f t="shared" si="14"/>
        <v>-18467</v>
      </c>
      <c r="L26" s="195">
        <f t="shared" si="15"/>
        <v>-37691</v>
      </c>
      <c r="M26" s="196">
        <f t="shared" si="12"/>
        <v>1.5279942433246771E-2</v>
      </c>
    </row>
    <row r="27" spans="1:25" x14ac:dyDescent="0.25">
      <c r="B27" s="190" t="s">
        <v>109</v>
      </c>
      <c r="C27" s="191">
        <v>373055</v>
      </c>
      <c r="D27" s="191">
        <v>419613</v>
      </c>
      <c r="E27" s="191">
        <v>1273089</v>
      </c>
      <c r="F27" s="191">
        <v>1410807</v>
      </c>
      <c r="G27" s="191">
        <v>1479593</v>
      </c>
      <c r="H27" s="191">
        <v>1419150</v>
      </c>
      <c r="I27" s="211">
        <f>IFERROR(H27/G27-1,"-")</f>
        <v>-4.0851098917067064E-2</v>
      </c>
      <c r="J27" s="192">
        <f t="shared" si="13"/>
        <v>2.3820448842147406</v>
      </c>
      <c r="K27" s="191">
        <f t="shared" si="14"/>
        <v>-60443</v>
      </c>
      <c r="L27" s="191">
        <f t="shared" si="15"/>
        <v>999537</v>
      </c>
      <c r="M27" s="192">
        <f t="shared" si="12"/>
        <v>0.31086703898132256</v>
      </c>
    </row>
    <row r="28" spans="1:25" x14ac:dyDescent="0.25">
      <c r="B28" s="194" t="s">
        <v>112</v>
      </c>
      <c r="C28" s="195">
        <v>161958</v>
      </c>
      <c r="D28" s="195">
        <v>123058</v>
      </c>
      <c r="E28" s="195">
        <v>652433</v>
      </c>
      <c r="F28" s="195">
        <v>740531</v>
      </c>
      <c r="G28" s="195">
        <v>783161</v>
      </c>
      <c r="H28" s="195">
        <v>765633</v>
      </c>
      <c r="I28" s="212">
        <f t="shared" ref="I28:I35" si="16">IFERROR(H28/G28-1,"-")</f>
        <v>-2.2381094053457673E-2</v>
      </c>
      <c r="J28" s="196">
        <f t="shared" si="13"/>
        <v>5.2217247151749584</v>
      </c>
      <c r="K28" s="195">
        <f t="shared" si="14"/>
        <v>-17528</v>
      </c>
      <c r="L28" s="195">
        <f t="shared" si="15"/>
        <v>642575</v>
      </c>
      <c r="M28" s="196">
        <f t="shared" si="12"/>
        <v>0.16771311253665006</v>
      </c>
    </row>
    <row r="29" spans="1:25" x14ac:dyDescent="0.25">
      <c r="B29" s="194" t="s">
        <v>115</v>
      </c>
      <c r="C29" s="195">
        <v>45892</v>
      </c>
      <c r="D29" s="195">
        <v>71961</v>
      </c>
      <c r="E29" s="195">
        <v>136074</v>
      </c>
      <c r="F29" s="195">
        <v>148299</v>
      </c>
      <c r="G29" s="195">
        <v>149978</v>
      </c>
      <c r="H29" s="195">
        <v>138535</v>
      </c>
      <c r="I29" s="212">
        <f t="shared" si="16"/>
        <v>-7.6297857019029469E-2</v>
      </c>
      <c r="J29" s="196">
        <f t="shared" si="13"/>
        <v>0.92514000639235139</v>
      </c>
      <c r="K29" s="195">
        <f t="shared" si="14"/>
        <v>-11443</v>
      </c>
      <c r="L29" s="195">
        <f t="shared" si="15"/>
        <v>66574</v>
      </c>
      <c r="M29" s="196">
        <f t="shared" si="12"/>
        <v>3.0346309583396767E-2</v>
      </c>
    </row>
    <row r="30" spans="1:25" x14ac:dyDescent="0.25">
      <c r="B30" s="194" t="s">
        <v>118</v>
      </c>
      <c r="C30" s="195">
        <v>17768</v>
      </c>
      <c r="D30" s="195">
        <v>33274</v>
      </c>
      <c r="E30" s="195">
        <v>53676</v>
      </c>
      <c r="F30" s="195">
        <v>56218</v>
      </c>
      <c r="G30" s="195">
        <v>50209</v>
      </c>
      <c r="H30" s="195">
        <v>44214</v>
      </c>
      <c r="I30" s="212">
        <f t="shared" si="16"/>
        <v>-0.11940090422035887</v>
      </c>
      <c r="J30" s="196">
        <f t="shared" si="13"/>
        <v>0.32878523772314727</v>
      </c>
      <c r="K30" s="195">
        <f t="shared" si="14"/>
        <v>-5995</v>
      </c>
      <c r="L30" s="195">
        <f t="shared" si="15"/>
        <v>10940</v>
      </c>
      <c r="M30" s="196">
        <f t="shared" si="12"/>
        <v>9.6851462224008707E-3</v>
      </c>
    </row>
    <row r="31" spans="1:25" x14ac:dyDescent="0.25">
      <c r="B31" s="194" t="s">
        <v>125</v>
      </c>
      <c r="C31" s="195">
        <v>15339</v>
      </c>
      <c r="D31" s="195">
        <v>29470</v>
      </c>
      <c r="E31" s="195">
        <v>66087</v>
      </c>
      <c r="F31" s="195">
        <v>60607</v>
      </c>
      <c r="G31" s="195">
        <v>61026</v>
      </c>
      <c r="H31" s="195">
        <v>56389</v>
      </c>
      <c r="I31" s="212">
        <f t="shared" si="16"/>
        <v>-7.5984006816766647E-2</v>
      </c>
      <c r="J31" s="196">
        <f t="shared" si="13"/>
        <v>0.91343739395995938</v>
      </c>
      <c r="K31" s="195">
        <f t="shared" si="14"/>
        <v>-4637</v>
      </c>
      <c r="L31" s="195">
        <f t="shared" si="15"/>
        <v>26919</v>
      </c>
      <c r="M31" s="196">
        <f t="shared" si="12"/>
        <v>1.2352099116455482E-2</v>
      </c>
    </row>
    <row r="32" spans="1:25" x14ac:dyDescent="0.25">
      <c r="B32" s="194" t="s">
        <v>121</v>
      </c>
      <c r="C32" s="195">
        <v>24224</v>
      </c>
      <c r="D32" s="195">
        <v>34152</v>
      </c>
      <c r="E32" s="195">
        <v>68490</v>
      </c>
      <c r="F32" s="195">
        <v>65328</v>
      </c>
      <c r="G32" s="195">
        <v>66877</v>
      </c>
      <c r="H32" s="195">
        <v>62133</v>
      </c>
      <c r="I32" s="212">
        <f t="shared" si="16"/>
        <v>-7.0936196300671384E-2</v>
      </c>
      <c r="J32" s="196">
        <f t="shared" si="13"/>
        <v>0.81930780042164431</v>
      </c>
      <c r="K32" s="195">
        <f t="shared" si="14"/>
        <v>-4744</v>
      </c>
      <c r="L32" s="195">
        <f t="shared" si="15"/>
        <v>27981</v>
      </c>
      <c r="M32" s="196">
        <f t="shared" si="12"/>
        <v>1.3610331348361001E-2</v>
      </c>
    </row>
    <row r="33" spans="2:13" x14ac:dyDescent="0.25">
      <c r="B33" s="194" t="s">
        <v>130</v>
      </c>
      <c r="C33" s="195">
        <v>11538</v>
      </c>
      <c r="D33" s="195">
        <v>2677</v>
      </c>
      <c r="E33" s="195">
        <v>17067</v>
      </c>
      <c r="F33" s="195">
        <v>19064</v>
      </c>
      <c r="G33" s="195">
        <v>18391</v>
      </c>
      <c r="H33" s="195">
        <v>16808</v>
      </c>
      <c r="I33" s="212">
        <f t="shared" si="16"/>
        <v>-8.6074710456201409E-2</v>
      </c>
      <c r="J33" s="196">
        <f t="shared" si="13"/>
        <v>5.2786701531565186</v>
      </c>
      <c r="K33" s="195">
        <f t="shared" si="14"/>
        <v>-1583</v>
      </c>
      <c r="L33" s="195">
        <f t="shared" si="15"/>
        <v>14131</v>
      </c>
      <c r="M33" s="196">
        <f t="shared" si="12"/>
        <v>3.6818188290160094E-3</v>
      </c>
    </row>
    <row r="34" spans="2:13" x14ac:dyDescent="0.25">
      <c r="B34" s="194" t="s">
        <v>133</v>
      </c>
      <c r="C34" s="195">
        <v>12984</v>
      </c>
      <c r="D34" s="195">
        <v>1660</v>
      </c>
      <c r="E34" s="195">
        <v>11060</v>
      </c>
      <c r="F34" s="195">
        <v>17223</v>
      </c>
      <c r="G34" s="195">
        <v>16241</v>
      </c>
      <c r="H34" s="195">
        <v>13137</v>
      </c>
      <c r="I34" s="212">
        <f t="shared" si="16"/>
        <v>-0.19112123637707035</v>
      </c>
      <c r="J34" s="196">
        <f t="shared" si="13"/>
        <v>6.9138554216867467</v>
      </c>
      <c r="K34" s="195">
        <f t="shared" si="14"/>
        <v>-3104</v>
      </c>
      <c r="L34" s="195">
        <f t="shared" si="15"/>
        <v>11477</v>
      </c>
      <c r="M34" s="196">
        <f t="shared" si="12"/>
        <v>2.8776805067100971E-3</v>
      </c>
    </row>
    <row r="35" spans="2:13" x14ac:dyDescent="0.25">
      <c r="B35" s="199" t="s">
        <v>147</v>
      </c>
      <c r="C35" s="200">
        <f t="shared" ref="C35" si="17">C27-SUM(C28:C34)</f>
        <v>83352</v>
      </c>
      <c r="D35" s="200">
        <f t="shared" ref="D35:E35" si="18">D27-SUM(D28:D34)</f>
        <v>123361</v>
      </c>
      <c r="E35" s="200">
        <f t="shared" si="18"/>
        <v>268202</v>
      </c>
      <c r="F35" s="200">
        <f t="shared" ref="F35:H35" si="19">F27-SUM(F28:F34)</f>
        <v>303537</v>
      </c>
      <c r="G35" s="200">
        <f t="shared" si="19"/>
        <v>333710</v>
      </c>
      <c r="H35" s="200">
        <f t="shared" si="19"/>
        <v>322301</v>
      </c>
      <c r="I35" s="213">
        <f t="shared" si="16"/>
        <v>-3.4188367145125964E-2</v>
      </c>
      <c r="J35" s="201">
        <f t="shared" si="13"/>
        <v>1.6126652669806503</v>
      </c>
      <c r="K35" s="200">
        <f>H35-G35</f>
        <v>-11409</v>
      </c>
      <c r="L35" s="200">
        <f t="shared" si="15"/>
        <v>198940</v>
      </c>
      <c r="M35" s="201">
        <f t="shared" si="12"/>
        <v>7.0600540838332268E-2</v>
      </c>
    </row>
    <row r="36" spans="2:13" x14ac:dyDescent="0.25">
      <c r="B36" s="186" t="s">
        <v>47</v>
      </c>
      <c r="C36" s="184"/>
      <c r="D36" s="184"/>
      <c r="E36" s="184"/>
      <c r="F36" s="184"/>
      <c r="G36" s="184"/>
      <c r="H36" s="184"/>
      <c r="I36" s="185"/>
      <c r="J36" s="185"/>
      <c r="K36" s="185"/>
      <c r="L36" s="184"/>
      <c r="M36" s="184"/>
    </row>
    <row r="37" spans="2:13" x14ac:dyDescent="0.25">
      <c r="B37" s="187" t="s">
        <v>70</v>
      </c>
      <c r="C37" s="209">
        <v>319934</v>
      </c>
      <c r="D37" s="209">
        <v>324977</v>
      </c>
      <c r="E37" s="209">
        <v>1027252</v>
      </c>
      <c r="F37" s="209">
        <v>1094360</v>
      </c>
      <c r="G37" s="209">
        <v>1158457</v>
      </c>
      <c r="H37" s="209">
        <v>1192132</v>
      </c>
      <c r="I37" s="210">
        <f>IFERROR(H37/G37-1,"-")</f>
        <v>2.906883898150725E-2</v>
      </c>
      <c r="J37" s="210">
        <f>IFERROR(H37/D37-1,"-")</f>
        <v>2.6683580684171497</v>
      </c>
      <c r="K37" s="209">
        <f>H37-G37</f>
        <v>33675</v>
      </c>
      <c r="L37" s="209">
        <f>H37-D37</f>
        <v>867155</v>
      </c>
      <c r="M37" s="210">
        <f t="shared" ref="M37:M49" si="20">H37/H$9</f>
        <v>0.26113838911664167</v>
      </c>
    </row>
    <row r="38" spans="2:13" x14ac:dyDescent="0.25">
      <c r="B38" s="190" t="s">
        <v>99</v>
      </c>
      <c r="C38" s="191">
        <v>41966</v>
      </c>
      <c r="D38" s="191">
        <v>69889</v>
      </c>
      <c r="E38" s="191">
        <v>110023</v>
      </c>
      <c r="F38" s="191">
        <v>104488</v>
      </c>
      <c r="G38" s="191">
        <v>100942</v>
      </c>
      <c r="H38" s="191">
        <v>103829</v>
      </c>
      <c r="I38" s="211">
        <f>IFERROR(H38/G38-1,"-")</f>
        <v>2.8600582512730011E-2</v>
      </c>
      <c r="J38" s="192">
        <f t="shared" ref="J38:J49" si="21">IFERROR(H38/D38-1,"-")</f>
        <v>0.48562720885976329</v>
      </c>
      <c r="K38" s="191">
        <f t="shared" ref="K38:K48" si="22">H38-G38</f>
        <v>2887</v>
      </c>
      <c r="L38" s="191">
        <f t="shared" ref="L38:L49" si="23">H38-D38</f>
        <v>33940</v>
      </c>
      <c r="M38" s="192">
        <f t="shared" si="20"/>
        <v>2.2743905711441172E-2</v>
      </c>
    </row>
    <row r="39" spans="2:13" x14ac:dyDescent="0.25">
      <c r="B39" s="194" t="s">
        <v>105</v>
      </c>
      <c r="C39" s="195">
        <v>20552</v>
      </c>
      <c r="D39" s="195">
        <v>38712</v>
      </c>
      <c r="E39" s="195">
        <v>44470</v>
      </c>
      <c r="F39" s="195">
        <v>46357</v>
      </c>
      <c r="G39" s="195">
        <v>45451</v>
      </c>
      <c r="H39" s="195">
        <v>46055</v>
      </c>
      <c r="I39" s="212">
        <f>IFERROR(H39/G39-1,"-")</f>
        <v>1.3289036544850585E-2</v>
      </c>
      <c r="J39" s="196">
        <f t="shared" si="21"/>
        <v>0.18968278569952468</v>
      </c>
      <c r="K39" s="195">
        <f t="shared" si="22"/>
        <v>604</v>
      </c>
      <c r="L39" s="195">
        <f t="shared" si="23"/>
        <v>7343</v>
      </c>
      <c r="M39" s="196">
        <f t="shared" si="20"/>
        <v>1.0088420167202065E-2</v>
      </c>
    </row>
    <row r="40" spans="2:13" x14ac:dyDescent="0.25">
      <c r="B40" s="194" t="s">
        <v>102</v>
      </c>
      <c r="C40" s="195">
        <v>21414</v>
      </c>
      <c r="D40" s="195">
        <v>31177</v>
      </c>
      <c r="E40" s="195">
        <v>65553</v>
      </c>
      <c r="F40" s="195">
        <v>58131</v>
      </c>
      <c r="G40" s="195">
        <v>55491</v>
      </c>
      <c r="H40" s="195">
        <v>57774</v>
      </c>
      <c r="I40" s="212">
        <f>IFERROR(H40/G40-1,"-")</f>
        <v>4.1141806779477763E-2</v>
      </c>
      <c r="J40" s="196">
        <f t="shared" si="21"/>
        <v>0.85309683420470228</v>
      </c>
      <c r="K40" s="195">
        <f t="shared" si="22"/>
        <v>2283</v>
      </c>
      <c r="L40" s="195">
        <f t="shared" si="23"/>
        <v>26597</v>
      </c>
      <c r="M40" s="196">
        <f t="shared" si="20"/>
        <v>1.2655485544239108E-2</v>
      </c>
    </row>
    <row r="41" spans="2:13" x14ac:dyDescent="0.25">
      <c r="B41" s="190" t="s">
        <v>109</v>
      </c>
      <c r="C41" s="191">
        <v>277968</v>
      </c>
      <c r="D41" s="191">
        <v>255088</v>
      </c>
      <c r="E41" s="191">
        <v>917229</v>
      </c>
      <c r="F41" s="191">
        <v>989872</v>
      </c>
      <c r="G41" s="191">
        <v>1057515</v>
      </c>
      <c r="H41" s="191">
        <v>1088303</v>
      </c>
      <c r="I41" s="211">
        <f>IFERROR(H41/G41-1,"-")</f>
        <v>2.9113535032599946E-2</v>
      </c>
      <c r="J41" s="192">
        <f t="shared" si="21"/>
        <v>3.2663825816972967</v>
      </c>
      <c r="K41" s="191">
        <f t="shared" si="22"/>
        <v>30788</v>
      </c>
      <c r="L41" s="191">
        <f t="shared" si="23"/>
        <v>833215</v>
      </c>
      <c r="M41" s="192">
        <f t="shared" si="20"/>
        <v>0.2383944834052005</v>
      </c>
    </row>
    <row r="42" spans="2:13" x14ac:dyDescent="0.25">
      <c r="B42" s="194" t="s">
        <v>112</v>
      </c>
      <c r="C42" s="195">
        <v>123180</v>
      </c>
      <c r="D42" s="195">
        <v>83302</v>
      </c>
      <c r="E42" s="195">
        <v>483953</v>
      </c>
      <c r="F42" s="195">
        <v>534551</v>
      </c>
      <c r="G42" s="195">
        <v>581317</v>
      </c>
      <c r="H42" s="195">
        <v>590615</v>
      </c>
      <c r="I42" s="212">
        <f t="shared" ref="I42:I49" si="24">IFERROR(H42/G42-1,"-")</f>
        <v>1.5994715447853691E-2</v>
      </c>
      <c r="J42" s="196">
        <f t="shared" si="21"/>
        <v>6.0900458572423233</v>
      </c>
      <c r="K42" s="195">
        <f t="shared" si="22"/>
        <v>9298</v>
      </c>
      <c r="L42" s="195">
        <f t="shared" si="23"/>
        <v>507313</v>
      </c>
      <c r="M42" s="196">
        <f t="shared" si="20"/>
        <v>0.12937514443713055</v>
      </c>
    </row>
    <row r="43" spans="2:13" x14ac:dyDescent="0.25">
      <c r="B43" s="194" t="s">
        <v>115</v>
      </c>
      <c r="C43" s="195">
        <v>13421</v>
      </c>
      <c r="D43" s="195">
        <v>13294</v>
      </c>
      <c r="E43" s="195">
        <v>29659</v>
      </c>
      <c r="F43" s="195">
        <v>35338</v>
      </c>
      <c r="G43" s="195">
        <v>34693</v>
      </c>
      <c r="H43" s="195">
        <v>38439</v>
      </c>
      <c r="I43" s="212">
        <f t="shared" si="24"/>
        <v>0.10797567232582939</v>
      </c>
      <c r="J43" s="196">
        <f t="shared" si="21"/>
        <v>1.8914547916353244</v>
      </c>
      <c r="K43" s="195">
        <f t="shared" si="22"/>
        <v>3746</v>
      </c>
      <c r="L43" s="195">
        <f t="shared" si="23"/>
        <v>25145</v>
      </c>
      <c r="M43" s="196">
        <f t="shared" si="20"/>
        <v>8.4201233917507376E-3</v>
      </c>
    </row>
    <row r="44" spans="2:13" x14ac:dyDescent="0.25">
      <c r="B44" s="194" t="s">
        <v>118</v>
      </c>
      <c r="C44" s="195">
        <v>8464</v>
      </c>
      <c r="D44" s="195">
        <v>15339</v>
      </c>
      <c r="E44" s="195">
        <v>22634</v>
      </c>
      <c r="F44" s="195">
        <v>24674</v>
      </c>
      <c r="G44" s="195">
        <v>24753</v>
      </c>
      <c r="H44" s="195">
        <v>26986</v>
      </c>
      <c r="I44" s="212">
        <f t="shared" si="24"/>
        <v>9.0211287520704619E-2</v>
      </c>
      <c r="J44" s="196">
        <f t="shared" si="21"/>
        <v>0.75930634330790792</v>
      </c>
      <c r="K44" s="195">
        <f t="shared" si="22"/>
        <v>2233</v>
      </c>
      <c r="L44" s="195">
        <f t="shared" si="23"/>
        <v>11647</v>
      </c>
      <c r="M44" s="196">
        <f t="shared" si="20"/>
        <v>5.9113257329739431E-3</v>
      </c>
    </row>
    <row r="45" spans="2:13" x14ac:dyDescent="0.25">
      <c r="B45" s="194" t="s">
        <v>125</v>
      </c>
      <c r="C45" s="195">
        <v>12393</v>
      </c>
      <c r="D45" s="195">
        <v>21042</v>
      </c>
      <c r="E45" s="195">
        <v>49372</v>
      </c>
      <c r="F45" s="195">
        <v>46567</v>
      </c>
      <c r="G45" s="195">
        <v>49253</v>
      </c>
      <c r="H45" s="195">
        <v>45066</v>
      </c>
      <c r="I45" s="212">
        <f t="shared" si="24"/>
        <v>-8.5010050149229466E-2</v>
      </c>
      <c r="J45" s="196">
        <f t="shared" si="21"/>
        <v>1.1417165668662674</v>
      </c>
      <c r="K45" s="195">
        <f t="shared" si="22"/>
        <v>-4187</v>
      </c>
      <c r="L45" s="195">
        <f t="shared" si="23"/>
        <v>24024</v>
      </c>
      <c r="M45" s="196">
        <f t="shared" si="20"/>
        <v>9.8717781620915913E-3</v>
      </c>
    </row>
    <row r="46" spans="2:13" x14ac:dyDescent="0.25">
      <c r="B46" s="194" t="s">
        <v>121</v>
      </c>
      <c r="C46" s="195">
        <v>13586</v>
      </c>
      <c r="D46" s="195">
        <v>14714</v>
      </c>
      <c r="E46" s="195">
        <v>31205</v>
      </c>
      <c r="F46" s="195">
        <v>36085</v>
      </c>
      <c r="G46" s="195">
        <v>36824</v>
      </c>
      <c r="H46" s="195">
        <v>33369</v>
      </c>
      <c r="I46" s="212">
        <f t="shared" si="24"/>
        <v>-9.3824679556810731E-2</v>
      </c>
      <c r="J46" s="196">
        <f t="shared" si="21"/>
        <v>1.2678401522359657</v>
      </c>
      <c r="K46" s="195">
        <f t="shared" si="22"/>
        <v>-3455</v>
      </c>
      <c r="L46" s="195">
        <f t="shared" si="23"/>
        <v>18655</v>
      </c>
      <c r="M46" s="196">
        <f t="shared" si="20"/>
        <v>7.3095319196475024E-3</v>
      </c>
    </row>
    <row r="47" spans="2:13" x14ac:dyDescent="0.25">
      <c r="B47" s="194" t="s">
        <v>130</v>
      </c>
      <c r="C47" s="195">
        <v>9638</v>
      </c>
      <c r="D47" s="195">
        <v>4664</v>
      </c>
      <c r="E47" s="195">
        <v>16484</v>
      </c>
      <c r="F47" s="195">
        <v>17819</v>
      </c>
      <c r="G47" s="195">
        <v>16068</v>
      </c>
      <c r="H47" s="195">
        <v>16625</v>
      </c>
      <c r="I47" s="212">
        <f t="shared" si="24"/>
        <v>3.4665173014687634E-2</v>
      </c>
      <c r="J47" s="196">
        <f t="shared" si="21"/>
        <v>2.5645368782161233</v>
      </c>
      <c r="K47" s="195">
        <f t="shared" si="22"/>
        <v>557</v>
      </c>
      <c r="L47" s="195">
        <f t="shared" si="23"/>
        <v>11961</v>
      </c>
      <c r="M47" s="196">
        <f t="shared" si="20"/>
        <v>3.6417323912655377E-3</v>
      </c>
    </row>
    <row r="48" spans="2:13" x14ac:dyDescent="0.25">
      <c r="B48" s="194" t="s">
        <v>133</v>
      </c>
      <c r="C48" s="195">
        <v>15776</v>
      </c>
      <c r="D48" s="195">
        <v>3440</v>
      </c>
      <c r="E48" s="195">
        <v>14048</v>
      </c>
      <c r="F48" s="195">
        <v>17655</v>
      </c>
      <c r="G48" s="195">
        <v>17179</v>
      </c>
      <c r="H48" s="195">
        <v>13670</v>
      </c>
      <c r="I48" s="212">
        <f t="shared" si="24"/>
        <v>-0.2042610163571803</v>
      </c>
      <c r="J48" s="196">
        <f t="shared" si="21"/>
        <v>2.9738372093023258</v>
      </c>
      <c r="K48" s="195">
        <f t="shared" si="22"/>
        <v>-3509</v>
      </c>
      <c r="L48" s="195">
        <f t="shared" si="23"/>
        <v>10230</v>
      </c>
      <c r="M48" s="196">
        <f t="shared" si="20"/>
        <v>2.9944349948030015E-3</v>
      </c>
    </row>
    <row r="49" spans="2:13" x14ac:dyDescent="0.25">
      <c r="B49" s="199" t="s">
        <v>147</v>
      </c>
      <c r="C49" s="200">
        <f t="shared" ref="C49" si="25">C41-SUM(C42:C48)</f>
        <v>81510</v>
      </c>
      <c r="D49" s="200">
        <f t="shared" ref="D49:E49" si="26">D41-SUM(D42:D48)</f>
        <v>99293</v>
      </c>
      <c r="E49" s="200">
        <f t="shared" si="26"/>
        <v>269874</v>
      </c>
      <c r="F49" s="200">
        <f t="shared" ref="F49:H49" si="27">F41-SUM(F42:F48)</f>
        <v>277183</v>
      </c>
      <c r="G49" s="200">
        <f t="shared" si="27"/>
        <v>297428</v>
      </c>
      <c r="H49" s="200">
        <f t="shared" si="27"/>
        <v>323533</v>
      </c>
      <c r="I49" s="213">
        <f t="shared" si="24"/>
        <v>8.7769140766841058E-2</v>
      </c>
      <c r="J49" s="201">
        <f t="shared" si="21"/>
        <v>2.2583666522312753</v>
      </c>
      <c r="K49" s="200">
        <f>H49-G49</f>
        <v>26105</v>
      </c>
      <c r="L49" s="200">
        <f t="shared" si="23"/>
        <v>224240</v>
      </c>
      <c r="M49" s="201">
        <f t="shared" si="20"/>
        <v>7.0870412375537636E-2</v>
      </c>
    </row>
    <row r="50" spans="2:13" x14ac:dyDescent="0.25">
      <c r="B50" s="186" t="s">
        <v>48</v>
      </c>
      <c r="C50" s="184"/>
      <c r="D50" s="184"/>
      <c r="E50" s="184"/>
      <c r="F50" s="184"/>
      <c r="G50" s="184"/>
      <c r="H50" s="184"/>
      <c r="I50" s="185"/>
      <c r="J50" s="185"/>
      <c r="K50" s="185"/>
      <c r="L50" s="184"/>
      <c r="M50" s="184"/>
    </row>
    <row r="51" spans="2:13" x14ac:dyDescent="0.25">
      <c r="B51" s="187" t="s">
        <v>70</v>
      </c>
      <c r="C51" s="209">
        <v>11628</v>
      </c>
      <c r="D51" s="209">
        <v>14685</v>
      </c>
      <c r="E51" s="209">
        <v>29058</v>
      </c>
      <c r="F51" s="209">
        <v>41308</v>
      </c>
      <c r="G51" s="209">
        <v>35995</v>
      </c>
      <c r="H51" s="209">
        <v>36061</v>
      </c>
      <c r="I51" s="210">
        <f>IFERROR(H51/G51-1,"-")</f>
        <v>1.8335879983331083E-3</v>
      </c>
      <c r="J51" s="210">
        <f>IFERROR(H51/D51-1,"-")</f>
        <v>1.4556350017024173</v>
      </c>
      <c r="K51" s="209">
        <f>H51-G51</f>
        <v>66</v>
      </c>
      <c r="L51" s="209">
        <f>H51-D51</f>
        <v>21376</v>
      </c>
      <c r="M51" s="210">
        <f t="shared" ref="M51:M63" si="28">H51/H$9</f>
        <v>7.89921875256701E-3</v>
      </c>
    </row>
    <row r="52" spans="2:13" x14ac:dyDescent="0.25">
      <c r="B52" s="190" t="s">
        <v>99</v>
      </c>
      <c r="C52" s="191">
        <v>2244</v>
      </c>
      <c r="D52" s="191">
        <v>4565</v>
      </c>
      <c r="E52" s="191">
        <v>4856</v>
      </c>
      <c r="F52" s="191">
        <v>17500</v>
      </c>
      <c r="G52" s="191">
        <v>9811</v>
      </c>
      <c r="H52" s="191">
        <v>8209</v>
      </c>
      <c r="I52" s="211">
        <f>IFERROR(H52/G52-1,"-")</f>
        <v>-0.16328610743043526</v>
      </c>
      <c r="J52" s="192">
        <f t="shared" ref="J52:J63" si="29">IFERROR(H52/D52-1,"-")</f>
        <v>0.79824753559693318</v>
      </c>
      <c r="K52" s="191">
        <f t="shared" ref="K52:K62" si="30">H52-G52</f>
        <v>-1602</v>
      </c>
      <c r="L52" s="191">
        <f t="shared" ref="L52:L63" si="31">H52-D52</f>
        <v>3644</v>
      </c>
      <c r="M52" s="192">
        <f t="shared" si="28"/>
        <v>1.7981943578886494E-3</v>
      </c>
    </row>
    <row r="53" spans="2:13" x14ac:dyDescent="0.25">
      <c r="B53" s="194" t="s">
        <v>105</v>
      </c>
      <c r="C53" s="195">
        <v>1592</v>
      </c>
      <c r="D53" s="195">
        <v>2335</v>
      </c>
      <c r="E53" s="195">
        <v>2591</v>
      </c>
      <c r="F53" s="195">
        <v>12921</v>
      </c>
      <c r="G53" s="195">
        <v>6705</v>
      </c>
      <c r="H53" s="195">
        <v>4769</v>
      </c>
      <c r="I53" s="212">
        <f>IFERROR(H53/G53-1,"-")</f>
        <v>-0.28873974645786726</v>
      </c>
      <c r="J53" s="196">
        <f t="shared" si="29"/>
        <v>1.0423982869379014</v>
      </c>
      <c r="K53" s="195">
        <f t="shared" si="30"/>
        <v>-1936</v>
      </c>
      <c r="L53" s="195">
        <f t="shared" si="31"/>
        <v>2434</v>
      </c>
      <c r="M53" s="196">
        <f t="shared" si="28"/>
        <v>1.0446569488087429E-3</v>
      </c>
    </row>
    <row r="54" spans="2:13" x14ac:dyDescent="0.25">
      <c r="B54" s="194" t="s">
        <v>102</v>
      </c>
      <c r="C54" s="195">
        <v>652</v>
      </c>
      <c r="D54" s="195">
        <v>2230</v>
      </c>
      <c r="E54" s="195">
        <v>2265</v>
      </c>
      <c r="F54" s="195">
        <v>4579</v>
      </c>
      <c r="G54" s="195">
        <v>3106</v>
      </c>
      <c r="H54" s="195">
        <v>3440</v>
      </c>
      <c r="I54" s="212">
        <f>IFERROR(H54/G54-1,"-")</f>
        <v>0.10753380553766911</v>
      </c>
      <c r="J54" s="196">
        <f t="shared" si="29"/>
        <v>0.54260089686098656</v>
      </c>
      <c r="K54" s="195">
        <f t="shared" si="30"/>
        <v>334</v>
      </c>
      <c r="L54" s="195">
        <f t="shared" si="31"/>
        <v>1210</v>
      </c>
      <c r="M54" s="196">
        <f t="shared" si="28"/>
        <v>7.5353740907990675E-4</v>
      </c>
    </row>
    <row r="55" spans="2:13" x14ac:dyDescent="0.25">
      <c r="B55" s="190" t="s">
        <v>109</v>
      </c>
      <c r="C55" s="191">
        <v>9384</v>
      </c>
      <c r="D55" s="191">
        <v>10120</v>
      </c>
      <c r="E55" s="191">
        <v>24202</v>
      </c>
      <c r="F55" s="191">
        <v>23808</v>
      </c>
      <c r="G55" s="191">
        <v>26184</v>
      </c>
      <c r="H55" s="191">
        <v>27852</v>
      </c>
      <c r="I55" s="211">
        <f>IFERROR(H55/G55-1,"-")</f>
        <v>6.3703024747937764E-2</v>
      </c>
      <c r="J55" s="192">
        <f t="shared" si="29"/>
        <v>1.7521739130434781</v>
      </c>
      <c r="K55" s="191">
        <f t="shared" si="30"/>
        <v>1668</v>
      </c>
      <c r="L55" s="191">
        <f t="shared" si="31"/>
        <v>17732</v>
      </c>
      <c r="M55" s="192">
        <f t="shared" si="28"/>
        <v>6.1010243946783612E-3</v>
      </c>
    </row>
    <row r="56" spans="2:13" x14ac:dyDescent="0.25">
      <c r="B56" s="194" t="s">
        <v>112</v>
      </c>
      <c r="C56" s="195">
        <v>2951</v>
      </c>
      <c r="D56" s="195">
        <v>1798</v>
      </c>
      <c r="E56" s="195">
        <v>8555</v>
      </c>
      <c r="F56" s="195">
        <v>7494</v>
      </c>
      <c r="G56" s="195">
        <v>9162</v>
      </c>
      <c r="H56" s="195">
        <v>9958</v>
      </c>
      <c r="I56" s="212">
        <f t="shared" ref="I56:I63" si="32">IFERROR(H56/G56-1,"-")</f>
        <v>8.6880593756821556E-2</v>
      </c>
      <c r="J56" s="196">
        <f t="shared" si="29"/>
        <v>4.5383759733036708</v>
      </c>
      <c r="K56" s="195">
        <f t="shared" si="30"/>
        <v>796</v>
      </c>
      <c r="L56" s="195">
        <f t="shared" si="31"/>
        <v>8160</v>
      </c>
      <c r="M56" s="196">
        <f t="shared" si="28"/>
        <v>2.1813155580284044E-3</v>
      </c>
    </row>
    <row r="57" spans="2:13" x14ac:dyDescent="0.25">
      <c r="B57" s="194" t="s">
        <v>115</v>
      </c>
      <c r="C57" s="195">
        <v>2373</v>
      </c>
      <c r="D57" s="195">
        <v>3145</v>
      </c>
      <c r="E57" s="195">
        <v>5239</v>
      </c>
      <c r="F57" s="195">
        <v>4202</v>
      </c>
      <c r="G57" s="195">
        <v>5076</v>
      </c>
      <c r="H57" s="195">
        <v>5370</v>
      </c>
      <c r="I57" s="212">
        <f t="shared" si="32"/>
        <v>5.7919621749408901E-2</v>
      </c>
      <c r="J57" s="196">
        <f t="shared" si="29"/>
        <v>0.7074721780604134</v>
      </c>
      <c r="K57" s="195">
        <f t="shared" si="30"/>
        <v>294</v>
      </c>
      <c r="L57" s="195">
        <f t="shared" si="31"/>
        <v>2225</v>
      </c>
      <c r="M57" s="196">
        <f t="shared" si="28"/>
        <v>1.1763069438253196E-3</v>
      </c>
    </row>
    <row r="58" spans="2:13" x14ac:dyDescent="0.25">
      <c r="B58" s="194" t="s">
        <v>118</v>
      </c>
      <c r="C58" s="195">
        <v>504</v>
      </c>
      <c r="D58" s="195">
        <v>1383</v>
      </c>
      <c r="E58" s="195">
        <v>2127</v>
      </c>
      <c r="F58" s="195">
        <v>2399</v>
      </c>
      <c r="G58" s="195">
        <v>1961</v>
      </c>
      <c r="H58" s="195">
        <v>2196</v>
      </c>
      <c r="I58" s="212">
        <f t="shared" si="32"/>
        <v>0.11983681795002554</v>
      </c>
      <c r="J58" s="196">
        <f t="shared" si="29"/>
        <v>0.5878524945770065</v>
      </c>
      <c r="K58" s="195">
        <f t="shared" si="30"/>
        <v>235</v>
      </c>
      <c r="L58" s="195">
        <f t="shared" si="31"/>
        <v>813</v>
      </c>
      <c r="M58" s="196">
        <f t="shared" si="28"/>
        <v>4.8103725300566137E-4</v>
      </c>
    </row>
    <row r="59" spans="2:13" x14ac:dyDescent="0.25">
      <c r="B59" s="194" t="s">
        <v>125</v>
      </c>
      <c r="C59" s="195">
        <v>247</v>
      </c>
      <c r="D59" s="195">
        <v>251</v>
      </c>
      <c r="E59" s="195">
        <v>711</v>
      </c>
      <c r="F59" s="195">
        <v>596</v>
      </c>
      <c r="G59" s="195">
        <v>870</v>
      </c>
      <c r="H59" s="195">
        <v>872</v>
      </c>
      <c r="I59" s="212">
        <f t="shared" si="32"/>
        <v>2.2988505747125743E-3</v>
      </c>
      <c r="J59" s="196">
        <f t="shared" si="29"/>
        <v>2.4741035856573705</v>
      </c>
      <c r="K59" s="195">
        <f t="shared" si="30"/>
        <v>2</v>
      </c>
      <c r="L59" s="195">
        <f t="shared" si="31"/>
        <v>621</v>
      </c>
      <c r="M59" s="196">
        <f t="shared" si="28"/>
        <v>1.9101297113886009E-4</v>
      </c>
    </row>
    <row r="60" spans="2:13" x14ac:dyDescent="0.25">
      <c r="B60" s="194" t="s">
        <v>121</v>
      </c>
      <c r="C60" s="195">
        <v>217</v>
      </c>
      <c r="D60" s="195">
        <v>290</v>
      </c>
      <c r="E60" s="195">
        <v>550</v>
      </c>
      <c r="F60" s="195">
        <v>548</v>
      </c>
      <c r="G60" s="195">
        <v>593</v>
      </c>
      <c r="H60" s="195">
        <v>689</v>
      </c>
      <c r="I60" s="212">
        <f t="shared" si="32"/>
        <v>0.16188870151770662</v>
      </c>
      <c r="J60" s="196">
        <f t="shared" si="29"/>
        <v>1.3758620689655174</v>
      </c>
      <c r="K60" s="195">
        <f t="shared" si="30"/>
        <v>96</v>
      </c>
      <c r="L60" s="195">
        <f t="shared" si="31"/>
        <v>399</v>
      </c>
      <c r="M60" s="196">
        <f t="shared" si="28"/>
        <v>1.5092653338838829E-4</v>
      </c>
    </row>
    <row r="61" spans="2:13" x14ac:dyDescent="0.25">
      <c r="B61" s="194" t="s">
        <v>130</v>
      </c>
      <c r="C61" s="195">
        <v>136</v>
      </c>
      <c r="D61" s="195">
        <v>47</v>
      </c>
      <c r="E61" s="195">
        <v>70</v>
      </c>
      <c r="F61" s="195">
        <v>184</v>
      </c>
      <c r="G61" s="195">
        <v>98</v>
      </c>
      <c r="H61" s="195">
        <v>182</v>
      </c>
      <c r="I61" s="212">
        <f t="shared" si="32"/>
        <v>0.85714285714285721</v>
      </c>
      <c r="J61" s="196">
        <f t="shared" si="29"/>
        <v>2.8723404255319149</v>
      </c>
      <c r="K61" s="195">
        <f t="shared" si="30"/>
        <v>84</v>
      </c>
      <c r="L61" s="195">
        <f t="shared" si="31"/>
        <v>135</v>
      </c>
      <c r="M61" s="196">
        <f t="shared" si="28"/>
        <v>3.986738617806483E-5</v>
      </c>
    </row>
    <row r="62" spans="2:13" x14ac:dyDescent="0.25">
      <c r="B62" s="194" t="s">
        <v>133</v>
      </c>
      <c r="C62" s="195">
        <v>207</v>
      </c>
      <c r="D62" s="195">
        <v>42</v>
      </c>
      <c r="E62" s="195">
        <v>110</v>
      </c>
      <c r="F62" s="195">
        <v>156</v>
      </c>
      <c r="G62" s="195">
        <v>100</v>
      </c>
      <c r="H62" s="195">
        <v>438</v>
      </c>
      <c r="I62" s="212">
        <f t="shared" si="32"/>
        <v>3.38</v>
      </c>
      <c r="J62" s="196">
        <f t="shared" si="29"/>
        <v>9.4285714285714288</v>
      </c>
      <c r="K62" s="195">
        <f t="shared" si="30"/>
        <v>338</v>
      </c>
      <c r="L62" s="195">
        <f t="shared" si="31"/>
        <v>396</v>
      </c>
      <c r="M62" s="196">
        <f t="shared" si="28"/>
        <v>9.5944588714243941E-5</v>
      </c>
    </row>
    <row r="63" spans="2:13" x14ac:dyDescent="0.25">
      <c r="B63" s="199" t="s">
        <v>147</v>
      </c>
      <c r="C63" s="200">
        <f t="shared" ref="C63" si="33">C55-SUM(C56:C62)</f>
        <v>2749</v>
      </c>
      <c r="D63" s="200">
        <f t="shared" ref="D63:E63" si="34">D55-SUM(D56:D62)</f>
        <v>3164</v>
      </c>
      <c r="E63" s="200">
        <f t="shared" si="34"/>
        <v>6840</v>
      </c>
      <c r="F63" s="200">
        <f t="shared" ref="F63:H63" si="35">F55-SUM(F56:F62)</f>
        <v>8229</v>
      </c>
      <c r="G63" s="200">
        <f t="shared" si="35"/>
        <v>8324</v>
      </c>
      <c r="H63" s="200">
        <f t="shared" si="35"/>
        <v>8147</v>
      </c>
      <c r="I63" s="213">
        <f t="shared" si="32"/>
        <v>-2.1263815473330117E-2</v>
      </c>
      <c r="J63" s="201">
        <f t="shared" si="29"/>
        <v>1.5749051833122629</v>
      </c>
      <c r="K63" s="200">
        <f>H63-G63</f>
        <v>-177</v>
      </c>
      <c r="L63" s="200">
        <f t="shared" si="31"/>
        <v>4983</v>
      </c>
      <c r="M63" s="201">
        <f t="shared" si="28"/>
        <v>1.7846131603994186E-3</v>
      </c>
    </row>
    <row r="64" spans="2:13" x14ac:dyDescent="0.25">
      <c r="B64" s="186" t="s">
        <v>49</v>
      </c>
      <c r="C64" s="184"/>
      <c r="D64" s="184"/>
      <c r="E64" s="184"/>
      <c r="F64" s="184"/>
      <c r="G64" s="184"/>
      <c r="H64" s="184"/>
      <c r="I64" s="185"/>
      <c r="J64" s="185"/>
      <c r="K64" s="185"/>
      <c r="L64" s="184"/>
      <c r="M64" s="184"/>
    </row>
    <row r="65" spans="2:13" x14ac:dyDescent="0.25">
      <c r="B65" s="187" t="s">
        <v>70</v>
      </c>
      <c r="C65" s="209">
        <v>41527</v>
      </c>
      <c r="D65" s="209">
        <v>47843</v>
      </c>
      <c r="E65" s="209">
        <v>132337</v>
      </c>
      <c r="F65" s="209">
        <v>154946</v>
      </c>
      <c r="G65" s="209">
        <v>200452</v>
      </c>
      <c r="H65" s="209">
        <v>158521</v>
      </c>
      <c r="I65" s="210">
        <f>IFERROR(H65/G65-1,"-")</f>
        <v>-0.20918224811925046</v>
      </c>
      <c r="J65" s="210">
        <f>IFERROR(H65/D65-1,"-")</f>
        <v>2.3133582760278411</v>
      </c>
      <c r="K65" s="209">
        <f>H65-G65</f>
        <v>-41931</v>
      </c>
      <c r="L65" s="209">
        <f>H65-D65</f>
        <v>110678</v>
      </c>
      <c r="M65" s="210">
        <f t="shared" ref="M65:M77" si="36">H65/H$9</f>
        <v>3.472427430952206E-2</v>
      </c>
    </row>
    <row r="66" spans="2:13" x14ac:dyDescent="0.25">
      <c r="B66" s="190" t="s">
        <v>99</v>
      </c>
      <c r="C66" s="191">
        <v>20131</v>
      </c>
      <c r="D66" s="191">
        <v>23891</v>
      </c>
      <c r="E66" s="191">
        <v>30651</v>
      </c>
      <c r="F66" s="191">
        <v>40798</v>
      </c>
      <c r="G66" s="191">
        <v>53591</v>
      </c>
      <c r="H66" s="191">
        <v>36983</v>
      </c>
      <c r="I66" s="211">
        <f>IFERROR(H66/G66-1,"-")</f>
        <v>-0.30990278218357559</v>
      </c>
      <c r="J66" s="192">
        <f t="shared" ref="J66:J77" si="37">IFERROR(H66/D66-1,"-")</f>
        <v>0.5479887823866727</v>
      </c>
      <c r="K66" s="191">
        <f t="shared" ref="K66:K76" si="38">H66-G66</f>
        <v>-16608</v>
      </c>
      <c r="L66" s="191">
        <f t="shared" ref="L66:L77" si="39">H66-D66</f>
        <v>13092</v>
      </c>
      <c r="M66" s="192">
        <f t="shared" si="36"/>
        <v>8.1011843023262187E-3</v>
      </c>
    </row>
    <row r="67" spans="2:13" x14ac:dyDescent="0.25">
      <c r="B67" s="194" t="s">
        <v>105</v>
      </c>
      <c r="C67" s="195">
        <v>7189</v>
      </c>
      <c r="D67" s="195">
        <v>20370</v>
      </c>
      <c r="E67" s="195">
        <v>23072</v>
      </c>
      <c r="F67" s="195">
        <v>28586</v>
      </c>
      <c r="G67" s="195">
        <v>33767</v>
      </c>
      <c r="H67" s="195">
        <v>13812</v>
      </c>
      <c r="I67" s="212">
        <f>IFERROR(H67/G67-1,"-")</f>
        <v>-0.5909615897177718</v>
      </c>
      <c r="J67" s="196">
        <f t="shared" si="37"/>
        <v>-0.32194403534609717</v>
      </c>
      <c r="K67" s="195">
        <f t="shared" si="38"/>
        <v>-19955</v>
      </c>
      <c r="L67" s="195">
        <f t="shared" si="39"/>
        <v>-6558</v>
      </c>
      <c r="M67" s="196">
        <f t="shared" si="36"/>
        <v>3.0255403180847883E-3</v>
      </c>
    </row>
    <row r="68" spans="2:13" x14ac:dyDescent="0.25">
      <c r="B68" s="194" t="s">
        <v>102</v>
      </c>
      <c r="C68" s="195">
        <v>12942</v>
      </c>
      <c r="D68" s="195">
        <v>3521</v>
      </c>
      <c r="E68" s="195">
        <v>7579</v>
      </c>
      <c r="F68" s="195">
        <v>12212</v>
      </c>
      <c r="G68" s="195">
        <v>19824</v>
      </c>
      <c r="H68" s="195">
        <v>23171</v>
      </c>
      <c r="I68" s="212">
        <f>IFERROR(H68/G68-1,"-")</f>
        <v>0.16883575464083944</v>
      </c>
      <c r="J68" s="196">
        <f t="shared" si="37"/>
        <v>5.5808009088327184</v>
      </c>
      <c r="K68" s="195">
        <f t="shared" si="38"/>
        <v>3347</v>
      </c>
      <c r="L68" s="195">
        <f t="shared" si="39"/>
        <v>19650</v>
      </c>
      <c r="M68" s="196">
        <f t="shared" si="36"/>
        <v>5.07564398424143E-3</v>
      </c>
    </row>
    <row r="69" spans="2:13" x14ac:dyDescent="0.25">
      <c r="B69" s="190" t="s">
        <v>109</v>
      </c>
      <c r="C69" s="191">
        <v>21396</v>
      </c>
      <c r="D69" s="191">
        <v>23952</v>
      </c>
      <c r="E69" s="191">
        <v>101686</v>
      </c>
      <c r="F69" s="191">
        <v>114148</v>
      </c>
      <c r="G69" s="191">
        <v>146861</v>
      </c>
      <c r="H69" s="191">
        <v>121538</v>
      </c>
      <c r="I69" s="211">
        <f>IFERROR(H69/G69-1,"-")</f>
        <v>-0.17242835061725037</v>
      </c>
      <c r="J69" s="192">
        <f t="shared" si="37"/>
        <v>4.0742317969271875</v>
      </c>
      <c r="K69" s="191">
        <f t="shared" si="38"/>
        <v>-25323</v>
      </c>
      <c r="L69" s="191">
        <f t="shared" si="39"/>
        <v>97586</v>
      </c>
      <c r="M69" s="192">
        <f t="shared" si="36"/>
        <v>2.6623090007195843E-2</v>
      </c>
    </row>
    <row r="70" spans="2:13" x14ac:dyDescent="0.25">
      <c r="B70" s="194" t="s">
        <v>112</v>
      </c>
      <c r="C70" s="195">
        <v>8131</v>
      </c>
      <c r="D70" s="195">
        <v>7295</v>
      </c>
      <c r="E70" s="195">
        <v>47102</v>
      </c>
      <c r="F70" s="195">
        <v>41776</v>
      </c>
      <c r="G70" s="195">
        <v>63422</v>
      </c>
      <c r="H70" s="195">
        <v>63075</v>
      </c>
      <c r="I70" s="212">
        <f t="shared" ref="I70:I77" si="40">IFERROR(H70/G70-1,"-")</f>
        <v>-5.4712875658289306E-3</v>
      </c>
      <c r="J70" s="196">
        <f t="shared" si="37"/>
        <v>7.646333104866347</v>
      </c>
      <c r="K70" s="195">
        <f t="shared" si="38"/>
        <v>-347</v>
      </c>
      <c r="L70" s="195">
        <f t="shared" si="39"/>
        <v>55780</v>
      </c>
      <c r="M70" s="196">
        <f t="shared" si="36"/>
        <v>1.3816677929568347E-2</v>
      </c>
    </row>
    <row r="71" spans="2:13" x14ac:dyDescent="0.25">
      <c r="B71" s="194" t="s">
        <v>115</v>
      </c>
      <c r="C71" s="195">
        <v>2515</v>
      </c>
      <c r="D71" s="195">
        <v>2802</v>
      </c>
      <c r="E71" s="195">
        <v>6396</v>
      </c>
      <c r="F71" s="195">
        <v>7886</v>
      </c>
      <c r="G71" s="195">
        <v>8160</v>
      </c>
      <c r="H71" s="195">
        <v>8424</v>
      </c>
      <c r="I71" s="212">
        <f t="shared" si="40"/>
        <v>3.2352941176470695E-2</v>
      </c>
      <c r="J71" s="196">
        <f t="shared" si="37"/>
        <v>2.0064239828693791</v>
      </c>
      <c r="K71" s="195">
        <f t="shared" si="38"/>
        <v>264</v>
      </c>
      <c r="L71" s="195">
        <f t="shared" si="39"/>
        <v>5622</v>
      </c>
      <c r="M71" s="196">
        <f t="shared" si="36"/>
        <v>1.8452904459561436E-3</v>
      </c>
    </row>
    <row r="72" spans="2:13" x14ac:dyDescent="0.25">
      <c r="B72" s="194" t="s">
        <v>118</v>
      </c>
      <c r="C72" s="195">
        <v>2837</v>
      </c>
      <c r="D72" s="195">
        <v>3600</v>
      </c>
      <c r="E72" s="195">
        <v>14640</v>
      </c>
      <c r="F72" s="195">
        <v>15024</v>
      </c>
      <c r="G72" s="195">
        <v>17826</v>
      </c>
      <c r="H72" s="195">
        <v>8588</v>
      </c>
      <c r="I72" s="212">
        <f t="shared" si="40"/>
        <v>-0.51823179625266458</v>
      </c>
      <c r="J72" s="196">
        <f t="shared" si="37"/>
        <v>1.3855555555555554</v>
      </c>
      <c r="K72" s="195">
        <f t="shared" si="38"/>
        <v>-9238</v>
      </c>
      <c r="L72" s="195">
        <f t="shared" si="39"/>
        <v>4988</v>
      </c>
      <c r="M72" s="196">
        <f t="shared" si="36"/>
        <v>1.8812149038308834E-3</v>
      </c>
    </row>
    <row r="73" spans="2:13" x14ac:dyDescent="0.25">
      <c r="B73" s="194" t="s">
        <v>125</v>
      </c>
      <c r="C73" s="195">
        <v>273</v>
      </c>
      <c r="D73" s="195">
        <v>1937</v>
      </c>
      <c r="E73" s="195">
        <v>2490</v>
      </c>
      <c r="F73" s="195">
        <v>3276</v>
      </c>
      <c r="G73" s="195">
        <v>5584</v>
      </c>
      <c r="H73" s="195">
        <v>4766</v>
      </c>
      <c r="I73" s="212">
        <f t="shared" si="40"/>
        <v>-0.14648997134670483</v>
      </c>
      <c r="J73" s="196">
        <f t="shared" si="37"/>
        <v>1.4605059370160043</v>
      </c>
      <c r="K73" s="195">
        <f t="shared" si="38"/>
        <v>-818</v>
      </c>
      <c r="L73" s="195">
        <f t="shared" si="39"/>
        <v>2829</v>
      </c>
      <c r="M73" s="196">
        <f t="shared" si="36"/>
        <v>1.043999794091522E-3</v>
      </c>
    </row>
    <row r="74" spans="2:13" x14ac:dyDescent="0.25">
      <c r="B74" s="194" t="s">
        <v>121</v>
      </c>
      <c r="C74" s="195">
        <v>871</v>
      </c>
      <c r="D74" s="195">
        <v>1045</v>
      </c>
      <c r="E74" s="195">
        <v>2633</v>
      </c>
      <c r="F74" s="195">
        <v>2484</v>
      </c>
      <c r="G74" s="195">
        <v>3654</v>
      </c>
      <c r="H74" s="195">
        <v>2399</v>
      </c>
      <c r="I74" s="212">
        <f t="shared" si="40"/>
        <v>-0.34345922276956764</v>
      </c>
      <c r="J74" s="196">
        <f t="shared" si="37"/>
        <v>1.295693779904306</v>
      </c>
      <c r="K74" s="195">
        <f t="shared" si="38"/>
        <v>-1255</v>
      </c>
      <c r="L74" s="195">
        <f t="shared" si="39"/>
        <v>1354</v>
      </c>
      <c r="M74" s="196">
        <f t="shared" si="36"/>
        <v>5.2550472220427218E-4</v>
      </c>
    </row>
    <row r="75" spans="2:13" x14ac:dyDescent="0.25">
      <c r="B75" s="194" t="s">
        <v>130</v>
      </c>
      <c r="C75" s="195">
        <v>666</v>
      </c>
      <c r="D75" s="195">
        <v>129</v>
      </c>
      <c r="E75" s="195">
        <v>1414</v>
      </c>
      <c r="F75" s="195">
        <v>3520</v>
      </c>
      <c r="G75" s="195">
        <v>2498</v>
      </c>
      <c r="H75" s="195">
        <v>1688</v>
      </c>
      <c r="I75" s="212">
        <f t="shared" si="40"/>
        <v>-0.32425940752602078</v>
      </c>
      <c r="J75" s="196">
        <f t="shared" si="37"/>
        <v>12.085271317829458</v>
      </c>
      <c r="K75" s="195">
        <f t="shared" si="38"/>
        <v>-810</v>
      </c>
      <c r="L75" s="195">
        <f t="shared" si="39"/>
        <v>1559</v>
      </c>
      <c r="M75" s="196">
        <f t="shared" si="36"/>
        <v>3.6975905422293099E-4</v>
      </c>
    </row>
    <row r="76" spans="2:13" x14ac:dyDescent="0.25">
      <c r="B76" s="194" t="s">
        <v>133</v>
      </c>
      <c r="C76" s="195">
        <v>871</v>
      </c>
      <c r="D76" s="195">
        <v>59</v>
      </c>
      <c r="E76" s="195">
        <v>486</v>
      </c>
      <c r="F76" s="195">
        <v>1070</v>
      </c>
      <c r="G76" s="195">
        <v>1828</v>
      </c>
      <c r="H76" s="195">
        <v>2166</v>
      </c>
      <c r="I76" s="212">
        <f t="shared" si="40"/>
        <v>0.1849015317286653</v>
      </c>
      <c r="J76" s="196">
        <f t="shared" si="37"/>
        <v>35.711864406779661</v>
      </c>
      <c r="K76" s="195">
        <f t="shared" si="38"/>
        <v>338</v>
      </c>
      <c r="L76" s="195">
        <f t="shared" si="39"/>
        <v>2107</v>
      </c>
      <c r="M76" s="196">
        <f t="shared" si="36"/>
        <v>4.7446570583345292E-4</v>
      </c>
    </row>
    <row r="77" spans="2:13" x14ac:dyDescent="0.25">
      <c r="B77" s="199" t="s">
        <v>147</v>
      </c>
      <c r="C77" s="200">
        <f t="shared" ref="C77" si="41">C69-SUM(C70:C76)</f>
        <v>5232</v>
      </c>
      <c r="D77" s="200">
        <f t="shared" ref="D77:E77" si="42">D69-SUM(D70:D76)</f>
        <v>7085</v>
      </c>
      <c r="E77" s="200">
        <f t="shared" si="42"/>
        <v>26525</v>
      </c>
      <c r="F77" s="200">
        <f t="shared" ref="F77:H77" si="43">F69-SUM(F70:F76)</f>
        <v>39112</v>
      </c>
      <c r="G77" s="200">
        <f t="shared" si="43"/>
        <v>43889</v>
      </c>
      <c r="H77" s="200">
        <f t="shared" si="43"/>
        <v>30432</v>
      </c>
      <c r="I77" s="213">
        <f t="shared" si="40"/>
        <v>-0.3066144136343959</v>
      </c>
      <c r="J77" s="201">
        <f t="shared" si="37"/>
        <v>3.2952717007762882</v>
      </c>
      <c r="K77" s="200">
        <f>H77-G77</f>
        <v>-13457</v>
      </c>
      <c r="L77" s="200">
        <f t="shared" si="39"/>
        <v>23347</v>
      </c>
      <c r="M77" s="201">
        <f t="shared" si="36"/>
        <v>6.6661774514882909E-3</v>
      </c>
    </row>
    <row r="78" spans="2:13" x14ac:dyDescent="0.25">
      <c r="B78" s="186" t="s">
        <v>50</v>
      </c>
      <c r="C78" s="184"/>
      <c r="D78" s="184"/>
      <c r="E78" s="184"/>
      <c r="F78" s="184"/>
      <c r="G78" s="184"/>
      <c r="H78" s="184"/>
      <c r="I78" s="185"/>
      <c r="J78" s="185"/>
      <c r="K78" s="185"/>
      <c r="L78" s="184"/>
      <c r="M78" s="184"/>
    </row>
    <row r="79" spans="2:13" x14ac:dyDescent="0.25">
      <c r="B79" s="187" t="s">
        <v>70</v>
      </c>
      <c r="C79" s="209">
        <v>196369</v>
      </c>
      <c r="D79" s="209">
        <v>262585</v>
      </c>
      <c r="E79" s="209">
        <v>587373</v>
      </c>
      <c r="F79" s="209">
        <v>669254</v>
      </c>
      <c r="G79" s="209">
        <v>773150</v>
      </c>
      <c r="H79" s="209">
        <v>795285</v>
      </c>
      <c r="I79" s="210">
        <f>IFERROR(H79/G79-1,"-")</f>
        <v>2.8629632024833374E-2</v>
      </c>
      <c r="J79" s="210">
        <f>IFERROR(H79/D79-1,"-")</f>
        <v>2.0286764285850296</v>
      </c>
      <c r="K79" s="209">
        <f>H79-G79</f>
        <v>22135</v>
      </c>
      <c r="L79" s="209">
        <f>H79-D79</f>
        <v>532700</v>
      </c>
      <c r="M79" s="210">
        <f t="shared" ref="M79:M91" si="44">H79/H$9</f>
        <v>0.17420842976166093</v>
      </c>
    </row>
    <row r="80" spans="2:13" x14ac:dyDescent="0.25">
      <c r="B80" s="190" t="s">
        <v>99</v>
      </c>
      <c r="C80" s="191">
        <v>85786</v>
      </c>
      <c r="D80" s="191">
        <v>151359</v>
      </c>
      <c r="E80" s="191">
        <v>297779</v>
      </c>
      <c r="F80" s="191">
        <v>304437</v>
      </c>
      <c r="G80" s="191">
        <v>336795</v>
      </c>
      <c r="H80" s="191">
        <v>353464</v>
      </c>
      <c r="I80" s="211">
        <f>IFERROR(H80/G80-1,"-")</f>
        <v>4.9493015038821753E-2</v>
      </c>
      <c r="J80" s="192">
        <f t="shared" ref="J80:J91" si="45">IFERROR(H80/D80-1,"-")</f>
        <v>1.3352691283636915</v>
      </c>
      <c r="K80" s="191">
        <f t="shared" ref="K80:K90" si="46">H80-G80</f>
        <v>16669</v>
      </c>
      <c r="L80" s="191">
        <f t="shared" ref="L80:L91" si="47">H80-D80</f>
        <v>202105</v>
      </c>
      <c r="M80" s="192">
        <f t="shared" si="44"/>
        <v>7.7426844989250038E-2</v>
      </c>
    </row>
    <row r="81" spans="2:13" x14ac:dyDescent="0.25">
      <c r="B81" s="194" t="s">
        <v>105</v>
      </c>
      <c r="C81" s="195">
        <v>20676</v>
      </c>
      <c r="D81" s="195">
        <v>56045</v>
      </c>
      <c r="E81" s="195">
        <v>86680</v>
      </c>
      <c r="F81" s="195">
        <v>82735</v>
      </c>
      <c r="G81" s="195">
        <v>94416</v>
      </c>
      <c r="H81" s="195">
        <v>91116</v>
      </c>
      <c r="I81" s="212">
        <f>IFERROR(H81/G81-1,"-")</f>
        <v>-3.495170310116924E-2</v>
      </c>
      <c r="J81" s="196">
        <f t="shared" si="45"/>
        <v>0.62576501025961284</v>
      </c>
      <c r="K81" s="195">
        <f t="shared" si="46"/>
        <v>-3300</v>
      </c>
      <c r="L81" s="195">
        <f t="shared" si="47"/>
        <v>35071</v>
      </c>
      <c r="M81" s="196">
        <f t="shared" si="44"/>
        <v>1.9959103071431623E-2</v>
      </c>
    </row>
    <row r="82" spans="2:13" x14ac:dyDescent="0.25">
      <c r="B82" s="194" t="s">
        <v>102</v>
      </c>
      <c r="C82" s="195">
        <v>65110</v>
      </c>
      <c r="D82" s="195">
        <v>95314</v>
      </c>
      <c r="E82" s="195">
        <v>211099</v>
      </c>
      <c r="F82" s="195">
        <v>221702</v>
      </c>
      <c r="G82" s="195">
        <v>242379</v>
      </c>
      <c r="H82" s="195">
        <v>262348</v>
      </c>
      <c r="I82" s="212">
        <f>IFERROR(H82/G82-1,"-")</f>
        <v>8.2387500567293381E-2</v>
      </c>
      <c r="J82" s="196">
        <f t="shared" si="45"/>
        <v>1.752460289149548</v>
      </c>
      <c r="K82" s="195">
        <f t="shared" si="46"/>
        <v>19969</v>
      </c>
      <c r="L82" s="195">
        <f t="shared" si="47"/>
        <v>167034</v>
      </c>
      <c r="M82" s="196">
        <f t="shared" si="44"/>
        <v>5.7467741917818421E-2</v>
      </c>
    </row>
    <row r="83" spans="2:13" x14ac:dyDescent="0.25">
      <c r="B83" s="190" t="s">
        <v>109</v>
      </c>
      <c r="C83" s="191">
        <v>110583</v>
      </c>
      <c r="D83" s="191">
        <v>111226</v>
      </c>
      <c r="E83" s="191">
        <v>289594</v>
      </c>
      <c r="F83" s="191">
        <v>364817</v>
      </c>
      <c r="G83" s="191">
        <v>436355</v>
      </c>
      <c r="H83" s="191">
        <v>441821</v>
      </c>
      <c r="I83" s="211">
        <f>IFERROR(H83/G83-1,"-")</f>
        <v>1.2526497920271273E-2</v>
      </c>
      <c r="J83" s="192">
        <f t="shared" si="45"/>
        <v>2.9722816607627713</v>
      </c>
      <c r="K83" s="191">
        <f t="shared" si="46"/>
        <v>5466</v>
      </c>
      <c r="L83" s="191">
        <f t="shared" si="47"/>
        <v>330595</v>
      </c>
      <c r="M83" s="192">
        <f t="shared" si="44"/>
        <v>9.6781584772410889E-2</v>
      </c>
    </row>
    <row r="84" spans="2:13" x14ac:dyDescent="0.25">
      <c r="B84" s="194" t="s">
        <v>112</v>
      </c>
      <c r="C84" s="195">
        <v>18840</v>
      </c>
      <c r="D84" s="195">
        <v>10479</v>
      </c>
      <c r="E84" s="195">
        <v>58110</v>
      </c>
      <c r="F84" s="195">
        <v>76806</v>
      </c>
      <c r="G84" s="195">
        <v>92648</v>
      </c>
      <c r="H84" s="195">
        <v>98633</v>
      </c>
      <c r="I84" s="212">
        <f t="shared" ref="I84:I91" si="48">IFERROR(H84/G84-1,"-")</f>
        <v>6.4599343752698379E-2</v>
      </c>
      <c r="J84" s="196">
        <f t="shared" si="45"/>
        <v>8.4124439354900282</v>
      </c>
      <c r="K84" s="195">
        <f t="shared" si="46"/>
        <v>5985</v>
      </c>
      <c r="L84" s="195">
        <f t="shared" si="47"/>
        <v>88154</v>
      </c>
      <c r="M84" s="196">
        <f t="shared" si="44"/>
        <v>2.1605713741214661E-2</v>
      </c>
    </row>
    <row r="85" spans="2:13" x14ac:dyDescent="0.25">
      <c r="B85" s="194" t="s">
        <v>115</v>
      </c>
      <c r="C85" s="195">
        <v>35749</v>
      </c>
      <c r="D85" s="195">
        <v>30209</v>
      </c>
      <c r="E85" s="195">
        <v>86487</v>
      </c>
      <c r="F85" s="195">
        <v>99085</v>
      </c>
      <c r="G85" s="195">
        <v>111635</v>
      </c>
      <c r="H85" s="195">
        <v>109770</v>
      </c>
      <c r="I85" s="212">
        <f t="shared" si="48"/>
        <v>-1.6706230124960864E-2</v>
      </c>
      <c r="J85" s="196">
        <f t="shared" si="45"/>
        <v>2.6336853255652288</v>
      </c>
      <c r="K85" s="195">
        <f t="shared" si="46"/>
        <v>-1865</v>
      </c>
      <c r="L85" s="195">
        <f t="shared" si="47"/>
        <v>79561</v>
      </c>
      <c r="M85" s="196">
        <f t="shared" si="44"/>
        <v>2.404529110311086E-2</v>
      </c>
    </row>
    <row r="86" spans="2:13" x14ac:dyDescent="0.25">
      <c r="B86" s="194" t="s">
        <v>118</v>
      </c>
      <c r="C86" s="195">
        <v>7557</v>
      </c>
      <c r="D86" s="195">
        <v>15177</v>
      </c>
      <c r="E86" s="195">
        <v>25420</v>
      </c>
      <c r="F86" s="195">
        <v>35525</v>
      </c>
      <c r="G86" s="195">
        <v>50132</v>
      </c>
      <c r="H86" s="195">
        <v>49636</v>
      </c>
      <c r="I86" s="212">
        <f t="shared" si="48"/>
        <v>-9.893880156387147E-3</v>
      </c>
      <c r="J86" s="196">
        <f t="shared" si="45"/>
        <v>2.2704750609474864</v>
      </c>
      <c r="K86" s="195">
        <f t="shared" si="46"/>
        <v>-496</v>
      </c>
      <c r="L86" s="195">
        <f t="shared" si="47"/>
        <v>34459</v>
      </c>
      <c r="M86" s="196">
        <f t="shared" si="44"/>
        <v>1.0872843847991353E-2</v>
      </c>
    </row>
    <row r="87" spans="2:13" x14ac:dyDescent="0.25">
      <c r="B87" s="194" t="s">
        <v>125</v>
      </c>
      <c r="C87" s="195">
        <v>1769</v>
      </c>
      <c r="D87" s="195">
        <v>3697</v>
      </c>
      <c r="E87" s="195">
        <v>8759</v>
      </c>
      <c r="F87" s="195">
        <v>10246</v>
      </c>
      <c r="G87" s="195">
        <v>15551</v>
      </c>
      <c r="H87" s="195">
        <v>13472</v>
      </c>
      <c r="I87" s="212">
        <f t="shared" si="48"/>
        <v>-0.13368915182303387</v>
      </c>
      <c r="J87" s="196">
        <f t="shared" si="45"/>
        <v>2.644035704625372</v>
      </c>
      <c r="K87" s="195">
        <f t="shared" si="46"/>
        <v>-2079</v>
      </c>
      <c r="L87" s="195">
        <f t="shared" si="47"/>
        <v>9775</v>
      </c>
      <c r="M87" s="196">
        <f t="shared" si="44"/>
        <v>2.9510627834664254E-3</v>
      </c>
    </row>
    <row r="88" spans="2:13" x14ac:dyDescent="0.25">
      <c r="B88" s="194" t="s">
        <v>121</v>
      </c>
      <c r="C88" s="195">
        <v>1902</v>
      </c>
      <c r="D88" s="195">
        <v>3497</v>
      </c>
      <c r="E88" s="195">
        <v>4683</v>
      </c>
      <c r="F88" s="195">
        <v>5768</v>
      </c>
      <c r="G88" s="195">
        <v>7342</v>
      </c>
      <c r="H88" s="195">
        <v>7744</v>
      </c>
      <c r="I88" s="212">
        <f t="shared" si="48"/>
        <v>5.4753473168074107E-2</v>
      </c>
      <c r="J88" s="196">
        <f t="shared" si="45"/>
        <v>1.214469545324564</v>
      </c>
      <c r="K88" s="195">
        <f t="shared" si="46"/>
        <v>402</v>
      </c>
      <c r="L88" s="195">
        <f t="shared" si="47"/>
        <v>4247</v>
      </c>
      <c r="M88" s="196">
        <f t="shared" si="44"/>
        <v>1.696335376719418E-3</v>
      </c>
    </row>
    <row r="89" spans="2:13" x14ac:dyDescent="0.25">
      <c r="B89" s="194" t="s">
        <v>130</v>
      </c>
      <c r="C89" s="195">
        <v>3029</v>
      </c>
      <c r="D89" s="195">
        <v>949</v>
      </c>
      <c r="E89" s="195">
        <v>5124</v>
      </c>
      <c r="F89" s="195">
        <v>6315</v>
      </c>
      <c r="G89" s="195">
        <v>5506</v>
      </c>
      <c r="H89" s="195">
        <v>5966</v>
      </c>
      <c r="I89" s="212">
        <f t="shared" si="48"/>
        <v>8.3545223392662571E-2</v>
      </c>
      <c r="J89" s="196">
        <f t="shared" si="45"/>
        <v>5.2866174920969442</v>
      </c>
      <c r="K89" s="195">
        <f t="shared" si="46"/>
        <v>460</v>
      </c>
      <c r="L89" s="195">
        <f t="shared" si="47"/>
        <v>5017</v>
      </c>
      <c r="M89" s="196">
        <f t="shared" si="44"/>
        <v>1.3068616809798616E-3</v>
      </c>
    </row>
    <row r="90" spans="2:13" x14ac:dyDescent="0.25">
      <c r="B90" s="194" t="s">
        <v>133</v>
      </c>
      <c r="C90" s="195">
        <v>4729</v>
      </c>
      <c r="D90" s="195">
        <v>902</v>
      </c>
      <c r="E90" s="195">
        <v>4573</v>
      </c>
      <c r="F90" s="195">
        <v>6812</v>
      </c>
      <c r="G90" s="195">
        <v>6876</v>
      </c>
      <c r="H90" s="195">
        <v>4775</v>
      </c>
      <c r="I90" s="212">
        <f t="shared" si="48"/>
        <v>-0.30555555555555558</v>
      </c>
      <c r="J90" s="196">
        <f t="shared" si="45"/>
        <v>4.2937915742793793</v>
      </c>
      <c r="K90" s="195">
        <f t="shared" si="46"/>
        <v>-2101</v>
      </c>
      <c r="L90" s="195">
        <f t="shared" si="47"/>
        <v>3873</v>
      </c>
      <c r="M90" s="196">
        <f t="shared" si="44"/>
        <v>1.0459712582431846E-3</v>
      </c>
    </row>
    <row r="91" spans="2:13" x14ac:dyDescent="0.25">
      <c r="B91" s="199" t="s">
        <v>147</v>
      </c>
      <c r="C91" s="200">
        <f t="shared" ref="C91" si="49">C83-SUM(C84:C90)</f>
        <v>37008</v>
      </c>
      <c r="D91" s="200">
        <f t="shared" ref="D91:E91" si="50">D83-SUM(D84:D90)</f>
        <v>46316</v>
      </c>
      <c r="E91" s="200">
        <f t="shared" si="50"/>
        <v>96438</v>
      </c>
      <c r="F91" s="200">
        <f t="shared" ref="F91:H91" si="51">F83-SUM(F84:F90)</f>
        <v>124260</v>
      </c>
      <c r="G91" s="200">
        <f t="shared" si="51"/>
        <v>146665</v>
      </c>
      <c r="H91" s="200">
        <f t="shared" si="51"/>
        <v>151825</v>
      </c>
      <c r="I91" s="213">
        <f t="shared" si="48"/>
        <v>3.5182217979749852E-2</v>
      </c>
      <c r="J91" s="201">
        <f t="shared" si="45"/>
        <v>2.2780248726142154</v>
      </c>
      <c r="K91" s="200">
        <f>H91-G91</f>
        <v>5160</v>
      </c>
      <c r="L91" s="200">
        <f t="shared" si="47"/>
        <v>105509</v>
      </c>
      <c r="M91" s="201">
        <f t="shared" si="44"/>
        <v>3.3257504980685131E-2</v>
      </c>
    </row>
    <row r="92" spans="2:13" x14ac:dyDescent="0.25">
      <c r="B92" s="186" t="s">
        <v>51</v>
      </c>
      <c r="C92" s="184"/>
      <c r="D92" s="184"/>
      <c r="E92" s="184"/>
      <c r="F92" s="184"/>
      <c r="G92" s="184"/>
      <c r="H92" s="184"/>
      <c r="I92" s="185"/>
      <c r="J92" s="185"/>
      <c r="K92" s="185"/>
      <c r="L92" s="184"/>
      <c r="M92" s="184"/>
    </row>
    <row r="93" spans="2:13" x14ac:dyDescent="0.25">
      <c r="B93" s="187" t="s">
        <v>70</v>
      </c>
      <c r="C93" s="209">
        <v>19059</v>
      </c>
      <c r="D93" s="209">
        <v>24453</v>
      </c>
      <c r="E93" s="209">
        <v>41481</v>
      </c>
      <c r="F93" s="209">
        <v>48608</v>
      </c>
      <c r="G93" s="209">
        <v>46696</v>
      </c>
      <c r="H93" s="209">
        <v>46403</v>
      </c>
      <c r="I93" s="210">
        <f>IFERROR(H93/G93-1,"-")</f>
        <v>-6.2746273770772909E-3</v>
      </c>
      <c r="J93" s="210">
        <f>IFERROR(H93/D93-1,"-")</f>
        <v>0.89764037132458174</v>
      </c>
      <c r="K93" s="209">
        <f>H93-G93</f>
        <v>-293</v>
      </c>
      <c r="L93" s="209">
        <f>H93-D93</f>
        <v>21950</v>
      </c>
      <c r="M93" s="210">
        <f t="shared" ref="M93:M105" si="52">H93/H$9</f>
        <v>1.0164650114399683E-2</v>
      </c>
    </row>
    <row r="94" spans="2:13" x14ac:dyDescent="0.25">
      <c r="B94" s="190" t="s">
        <v>99</v>
      </c>
      <c r="C94" s="191">
        <v>12382</v>
      </c>
      <c r="D94" s="191">
        <v>16085</v>
      </c>
      <c r="E94" s="191">
        <v>27294</v>
      </c>
      <c r="F94" s="191">
        <v>32685</v>
      </c>
      <c r="G94" s="191">
        <v>29315</v>
      </c>
      <c r="H94" s="191">
        <v>29490</v>
      </c>
      <c r="I94" s="211">
        <f>IFERROR(H94/G94-1,"-")</f>
        <v>5.969640115981667E-3</v>
      </c>
      <c r="J94" s="192">
        <f t="shared" ref="J94:J105" si="53">IFERROR(H94/D94-1,"-")</f>
        <v>0.83338514143612064</v>
      </c>
      <c r="K94" s="191">
        <f t="shared" ref="K94:K104" si="54">H94-G94</f>
        <v>175</v>
      </c>
      <c r="L94" s="191">
        <f t="shared" ref="L94:L105" si="55">H94-D94</f>
        <v>13405</v>
      </c>
      <c r="M94" s="192">
        <f t="shared" si="52"/>
        <v>6.4598308702809443E-3</v>
      </c>
    </row>
    <row r="95" spans="2:13" x14ac:dyDescent="0.25">
      <c r="B95" s="194" t="s">
        <v>105</v>
      </c>
      <c r="C95" s="195">
        <v>6489</v>
      </c>
      <c r="D95" s="195">
        <v>8211</v>
      </c>
      <c r="E95" s="195">
        <v>12915</v>
      </c>
      <c r="F95" s="195">
        <v>10196</v>
      </c>
      <c r="G95" s="195">
        <v>9167</v>
      </c>
      <c r="H95" s="195">
        <v>10910</v>
      </c>
      <c r="I95" s="212">
        <f>IFERROR(H95/G95-1,"-")</f>
        <v>0.19013854041671219</v>
      </c>
      <c r="J95" s="196">
        <f t="shared" si="53"/>
        <v>0.32870539520155884</v>
      </c>
      <c r="K95" s="195">
        <f t="shared" si="54"/>
        <v>1743</v>
      </c>
      <c r="L95" s="195">
        <f t="shared" si="55"/>
        <v>2699</v>
      </c>
      <c r="M95" s="196">
        <f t="shared" si="52"/>
        <v>2.3898526549598204E-3</v>
      </c>
    </row>
    <row r="96" spans="2:13" x14ac:dyDescent="0.25">
      <c r="B96" s="194" t="s">
        <v>102</v>
      </c>
      <c r="C96" s="195">
        <v>5893</v>
      </c>
      <c r="D96" s="195">
        <v>7874</v>
      </c>
      <c r="E96" s="195">
        <v>14379</v>
      </c>
      <c r="F96" s="195">
        <v>22489</v>
      </c>
      <c r="G96" s="195">
        <v>20148</v>
      </c>
      <c r="H96" s="195">
        <v>18580</v>
      </c>
      <c r="I96" s="212">
        <f>IFERROR(H96/G96-1,"-")</f>
        <v>-7.7824101647806287E-2</v>
      </c>
      <c r="J96" s="196">
        <f t="shared" si="53"/>
        <v>1.3596647193294387</v>
      </c>
      <c r="K96" s="195">
        <f t="shared" si="54"/>
        <v>-1568</v>
      </c>
      <c r="L96" s="195">
        <f t="shared" si="55"/>
        <v>10706</v>
      </c>
      <c r="M96" s="196">
        <f t="shared" si="52"/>
        <v>4.0699782153211239E-3</v>
      </c>
    </row>
    <row r="97" spans="2:13" x14ac:dyDescent="0.25">
      <c r="B97" s="190" t="s">
        <v>109</v>
      </c>
      <c r="C97" s="191">
        <v>6677</v>
      </c>
      <c r="D97" s="191">
        <v>8368</v>
      </c>
      <c r="E97" s="191">
        <v>14187</v>
      </c>
      <c r="F97" s="191">
        <v>15923</v>
      </c>
      <c r="G97" s="191">
        <v>17381</v>
      </c>
      <c r="H97" s="191">
        <v>16913</v>
      </c>
      <c r="I97" s="211">
        <f>IFERROR(H97/G97-1,"-")</f>
        <v>-2.6925953627524257E-2</v>
      </c>
      <c r="J97" s="192">
        <f t="shared" si="53"/>
        <v>1.0211520076481837</v>
      </c>
      <c r="K97" s="191">
        <f t="shared" si="54"/>
        <v>-468</v>
      </c>
      <c r="L97" s="191">
        <f t="shared" si="55"/>
        <v>8545</v>
      </c>
      <c r="M97" s="192">
        <f t="shared" si="52"/>
        <v>3.7048192441187389E-3</v>
      </c>
    </row>
    <row r="98" spans="2:13" x14ac:dyDescent="0.25">
      <c r="B98" s="194" t="s">
        <v>112</v>
      </c>
      <c r="C98" s="195">
        <v>1092</v>
      </c>
      <c r="D98" s="195">
        <v>509</v>
      </c>
      <c r="E98" s="195">
        <v>1836</v>
      </c>
      <c r="F98" s="195">
        <v>2198</v>
      </c>
      <c r="G98" s="195">
        <v>2450</v>
      </c>
      <c r="H98" s="195">
        <v>2046</v>
      </c>
      <c r="I98" s="212">
        <f t="shared" ref="I98:I105" si="56">IFERROR(H98/G98-1,"-")</f>
        <v>-0.16489795918367345</v>
      </c>
      <c r="J98" s="196">
        <f t="shared" si="53"/>
        <v>3.0196463654223971</v>
      </c>
      <c r="K98" s="195">
        <f t="shared" si="54"/>
        <v>-404</v>
      </c>
      <c r="L98" s="195">
        <f t="shared" si="55"/>
        <v>1537</v>
      </c>
      <c r="M98" s="196">
        <f t="shared" si="52"/>
        <v>4.4817951714461895E-4</v>
      </c>
    </row>
    <row r="99" spans="2:13" x14ac:dyDescent="0.25">
      <c r="B99" s="194" t="s">
        <v>115</v>
      </c>
      <c r="C99" s="195">
        <v>1239</v>
      </c>
      <c r="D99" s="195">
        <v>1578</v>
      </c>
      <c r="E99" s="195">
        <v>2714</v>
      </c>
      <c r="F99" s="195">
        <v>2893</v>
      </c>
      <c r="G99" s="195">
        <v>3315</v>
      </c>
      <c r="H99" s="195">
        <v>3003</v>
      </c>
      <c r="I99" s="212">
        <f t="shared" si="56"/>
        <v>-9.4117647058823528E-2</v>
      </c>
      <c r="J99" s="196">
        <f t="shared" si="53"/>
        <v>0.90304182509505693</v>
      </c>
      <c r="K99" s="195">
        <f t="shared" si="54"/>
        <v>-312</v>
      </c>
      <c r="L99" s="195">
        <f t="shared" si="55"/>
        <v>1425</v>
      </c>
      <c r="M99" s="196">
        <f t="shared" si="52"/>
        <v>6.5781187193806971E-4</v>
      </c>
    </row>
    <row r="100" spans="2:13" x14ac:dyDescent="0.25">
      <c r="B100" s="194" t="s">
        <v>118</v>
      </c>
      <c r="C100" s="195">
        <v>1648</v>
      </c>
      <c r="D100" s="195">
        <v>2867</v>
      </c>
      <c r="E100" s="195">
        <v>2766</v>
      </c>
      <c r="F100" s="195">
        <v>3129</v>
      </c>
      <c r="G100" s="195">
        <v>3038</v>
      </c>
      <c r="H100" s="195">
        <v>3024</v>
      </c>
      <c r="I100" s="212">
        <f t="shared" si="56"/>
        <v>-4.6082949308755561E-3</v>
      </c>
      <c r="J100" s="196">
        <f t="shared" si="53"/>
        <v>5.4761074293686818E-2</v>
      </c>
      <c r="K100" s="195">
        <f t="shared" si="54"/>
        <v>-14</v>
      </c>
      <c r="L100" s="195">
        <f t="shared" si="55"/>
        <v>157</v>
      </c>
      <c r="M100" s="196">
        <f t="shared" si="52"/>
        <v>6.6241195495861567E-4</v>
      </c>
    </row>
    <row r="101" spans="2:13" x14ac:dyDescent="0.25">
      <c r="B101" s="194" t="s">
        <v>125</v>
      </c>
      <c r="C101" s="195">
        <v>284</v>
      </c>
      <c r="D101" s="195">
        <v>208</v>
      </c>
      <c r="E101" s="195">
        <v>958</v>
      </c>
      <c r="F101" s="195">
        <v>711</v>
      </c>
      <c r="G101" s="195">
        <v>780</v>
      </c>
      <c r="H101" s="195">
        <v>720</v>
      </c>
      <c r="I101" s="212">
        <f t="shared" si="56"/>
        <v>-7.6923076923076872E-2</v>
      </c>
      <c r="J101" s="196">
        <f t="shared" si="53"/>
        <v>2.4615384615384617</v>
      </c>
      <c r="K101" s="195">
        <f t="shared" si="54"/>
        <v>-60</v>
      </c>
      <c r="L101" s="195">
        <f t="shared" si="55"/>
        <v>512</v>
      </c>
      <c r="M101" s="196">
        <f t="shared" si="52"/>
        <v>1.5771713213300374E-4</v>
      </c>
    </row>
    <row r="102" spans="2:13" x14ac:dyDescent="0.25">
      <c r="B102" s="194" t="s">
        <v>121</v>
      </c>
      <c r="C102" s="195">
        <v>256</v>
      </c>
      <c r="D102" s="195">
        <v>334</v>
      </c>
      <c r="E102" s="195">
        <v>560</v>
      </c>
      <c r="F102" s="195">
        <v>466</v>
      </c>
      <c r="G102" s="195">
        <v>696</v>
      </c>
      <c r="H102" s="195">
        <v>670</v>
      </c>
      <c r="I102" s="212">
        <f t="shared" si="56"/>
        <v>-3.7356321839080442E-2</v>
      </c>
      <c r="J102" s="196">
        <f t="shared" si="53"/>
        <v>1.0059880239520957</v>
      </c>
      <c r="K102" s="195">
        <f t="shared" si="54"/>
        <v>-26</v>
      </c>
      <c r="L102" s="195">
        <f t="shared" si="55"/>
        <v>336</v>
      </c>
      <c r="M102" s="196">
        <f t="shared" si="52"/>
        <v>1.4676455351265625E-4</v>
      </c>
    </row>
    <row r="103" spans="2:13" x14ac:dyDescent="0.25">
      <c r="B103" s="194" t="s">
        <v>130</v>
      </c>
      <c r="C103" s="195">
        <v>114</v>
      </c>
      <c r="D103" s="195">
        <v>51</v>
      </c>
      <c r="E103" s="195">
        <v>236</v>
      </c>
      <c r="F103" s="195">
        <v>112</v>
      </c>
      <c r="G103" s="195">
        <v>188</v>
      </c>
      <c r="H103" s="195">
        <v>161</v>
      </c>
      <c r="I103" s="212">
        <f t="shared" si="56"/>
        <v>-0.1436170212765957</v>
      </c>
      <c r="J103" s="196">
        <f t="shared" si="53"/>
        <v>2.1568627450980391</v>
      </c>
      <c r="K103" s="195">
        <f t="shared" si="54"/>
        <v>-27</v>
      </c>
      <c r="L103" s="195">
        <f t="shared" si="55"/>
        <v>110</v>
      </c>
      <c r="M103" s="196">
        <f t="shared" si="52"/>
        <v>3.526730315751889E-5</v>
      </c>
    </row>
    <row r="104" spans="2:13" x14ac:dyDescent="0.25">
      <c r="B104" s="194" t="s">
        <v>133</v>
      </c>
      <c r="C104" s="195">
        <v>70</v>
      </c>
      <c r="D104" s="195">
        <v>67</v>
      </c>
      <c r="E104" s="195">
        <v>125</v>
      </c>
      <c r="F104" s="195">
        <v>206</v>
      </c>
      <c r="G104" s="195">
        <v>308</v>
      </c>
      <c r="H104" s="195">
        <v>177</v>
      </c>
      <c r="I104" s="212">
        <f t="shared" si="56"/>
        <v>-0.42532467532467533</v>
      </c>
      <c r="J104" s="196">
        <f t="shared" si="53"/>
        <v>1.6417910447761193</v>
      </c>
      <c r="K104" s="195">
        <f t="shared" si="54"/>
        <v>-131</v>
      </c>
      <c r="L104" s="195">
        <f t="shared" si="55"/>
        <v>110</v>
      </c>
      <c r="M104" s="196">
        <f t="shared" si="52"/>
        <v>3.8772128316030084E-5</v>
      </c>
    </row>
    <row r="105" spans="2:13" x14ac:dyDescent="0.25">
      <c r="B105" s="199" t="s">
        <v>147</v>
      </c>
      <c r="C105" s="200">
        <f t="shared" ref="C105" si="57">C97-SUM(C98:C104)</f>
        <v>1974</v>
      </c>
      <c r="D105" s="200">
        <f t="shared" ref="D105:E105" si="58">D97-SUM(D98:D104)</f>
        <v>2754</v>
      </c>
      <c r="E105" s="200">
        <f t="shared" si="58"/>
        <v>4992</v>
      </c>
      <c r="F105" s="200">
        <f t="shared" ref="F105:H105" si="59">F97-SUM(F98:F104)</f>
        <v>6208</v>
      </c>
      <c r="G105" s="200">
        <f t="shared" si="59"/>
        <v>6606</v>
      </c>
      <c r="H105" s="200">
        <f t="shared" si="59"/>
        <v>7112</v>
      </c>
      <c r="I105" s="213">
        <f t="shared" si="56"/>
        <v>7.6597033000302739E-2</v>
      </c>
      <c r="J105" s="201">
        <f t="shared" si="53"/>
        <v>1.5824255628177197</v>
      </c>
      <c r="K105" s="200">
        <f>H105-G105</f>
        <v>506</v>
      </c>
      <c r="L105" s="200">
        <f t="shared" si="55"/>
        <v>4358</v>
      </c>
      <c r="M105" s="201">
        <f t="shared" si="52"/>
        <v>1.5578947829582258E-3</v>
      </c>
    </row>
    <row r="106" spans="2:13" x14ac:dyDescent="0.25">
      <c r="B106" s="186" t="s">
        <v>52</v>
      </c>
      <c r="C106" s="184"/>
      <c r="D106" s="184"/>
      <c r="E106" s="184"/>
      <c r="F106" s="184"/>
      <c r="G106" s="184"/>
      <c r="H106" s="184"/>
      <c r="I106" s="185"/>
      <c r="J106" s="185"/>
      <c r="K106" s="185"/>
      <c r="L106" s="184"/>
      <c r="M106" s="184"/>
    </row>
    <row r="107" spans="2:13" x14ac:dyDescent="0.25">
      <c r="B107" s="187" t="s">
        <v>70</v>
      </c>
      <c r="C107" s="209">
        <v>64241</v>
      </c>
      <c r="D107" s="209">
        <v>83177</v>
      </c>
      <c r="E107" s="209">
        <v>166144</v>
      </c>
      <c r="F107" s="209">
        <v>213829</v>
      </c>
      <c r="G107" s="209">
        <v>202567</v>
      </c>
      <c r="H107" s="209">
        <v>212363</v>
      </c>
      <c r="I107" s="210">
        <f>IFERROR(H107/G107-1,"-")</f>
        <v>4.8359308278248747E-2</v>
      </c>
      <c r="J107" s="210">
        <f>IFERROR(H107/D107-1,"-")</f>
        <v>1.5531457013357057</v>
      </c>
      <c r="K107" s="209">
        <f>H107-G107</f>
        <v>9796</v>
      </c>
      <c r="L107" s="209">
        <f>H107-D107</f>
        <v>129186</v>
      </c>
      <c r="M107" s="210">
        <f t="shared" ref="M107:M119" si="60">H107/H$9</f>
        <v>4.6518449071057046E-2</v>
      </c>
    </row>
    <row r="108" spans="2:13" x14ac:dyDescent="0.25">
      <c r="B108" s="190" t="s">
        <v>99</v>
      </c>
      <c r="C108" s="191">
        <v>26699</v>
      </c>
      <c r="D108" s="191">
        <v>39694</v>
      </c>
      <c r="E108" s="191">
        <v>42099</v>
      </c>
      <c r="F108" s="191">
        <v>49296</v>
      </c>
      <c r="G108" s="191">
        <v>44255</v>
      </c>
      <c r="H108" s="191">
        <v>47009</v>
      </c>
      <c r="I108" s="211">
        <f>IFERROR(H108/G108-1,"-")</f>
        <v>6.2230256468195577E-2</v>
      </c>
      <c r="J108" s="192">
        <f t="shared" ref="J108:J119" si="61">IFERROR(H108/D108-1,"-")</f>
        <v>0.18428477855595293</v>
      </c>
      <c r="K108" s="191">
        <f t="shared" ref="K108:K118" si="62">H108-G108</f>
        <v>2754</v>
      </c>
      <c r="L108" s="191">
        <f t="shared" ref="L108:L119" si="63">H108-D108</f>
        <v>7315</v>
      </c>
      <c r="M108" s="192">
        <f t="shared" si="60"/>
        <v>1.0297395367278295E-2</v>
      </c>
    </row>
    <row r="109" spans="2:13" x14ac:dyDescent="0.25">
      <c r="B109" s="194" t="s">
        <v>105</v>
      </c>
      <c r="C109" s="195">
        <v>2599</v>
      </c>
      <c r="D109" s="195">
        <v>22225</v>
      </c>
      <c r="E109" s="195">
        <v>14941</v>
      </c>
      <c r="F109" s="195">
        <v>18268</v>
      </c>
      <c r="G109" s="195">
        <v>14687</v>
      </c>
      <c r="H109" s="195">
        <v>17968</v>
      </c>
      <c r="I109" s="212">
        <f>IFERROR(H109/G109-1,"-")</f>
        <v>0.22339483897324164</v>
      </c>
      <c r="J109" s="196">
        <f t="shared" si="61"/>
        <v>-0.191541057367829</v>
      </c>
      <c r="K109" s="195">
        <f t="shared" si="62"/>
        <v>3281</v>
      </c>
      <c r="L109" s="195">
        <f t="shared" si="63"/>
        <v>-4257</v>
      </c>
      <c r="M109" s="196">
        <f t="shared" si="60"/>
        <v>3.9359186530080713E-3</v>
      </c>
    </row>
    <row r="110" spans="2:13" x14ac:dyDescent="0.25">
      <c r="B110" s="194" t="s">
        <v>102</v>
      </c>
      <c r="C110" s="195">
        <v>24100</v>
      </c>
      <c r="D110" s="195">
        <v>17469</v>
      </c>
      <c r="E110" s="195">
        <v>27158</v>
      </c>
      <c r="F110" s="195">
        <v>31028</v>
      </c>
      <c r="G110" s="195">
        <v>29568</v>
      </c>
      <c r="H110" s="195">
        <v>29041</v>
      </c>
      <c r="I110" s="212">
        <f>IFERROR(H110/G110-1,"-")</f>
        <v>-1.7823322510822526E-2</v>
      </c>
      <c r="J110" s="196">
        <f t="shared" si="61"/>
        <v>0.66243059133321891</v>
      </c>
      <c r="K110" s="195">
        <f t="shared" si="62"/>
        <v>-527</v>
      </c>
      <c r="L110" s="195">
        <f t="shared" si="63"/>
        <v>11572</v>
      </c>
      <c r="M110" s="196">
        <f t="shared" si="60"/>
        <v>6.3614767142702242E-3</v>
      </c>
    </row>
    <row r="111" spans="2:13" x14ac:dyDescent="0.25">
      <c r="B111" s="190" t="s">
        <v>109</v>
      </c>
      <c r="C111" s="191">
        <v>37542</v>
      </c>
      <c r="D111" s="191">
        <v>43483</v>
      </c>
      <c r="E111" s="191">
        <v>124045</v>
      </c>
      <c r="F111" s="191">
        <v>164533</v>
      </c>
      <c r="G111" s="191">
        <v>158312</v>
      </c>
      <c r="H111" s="191">
        <v>165354</v>
      </c>
      <c r="I111" s="211">
        <f>IFERROR(H111/G111-1,"-")</f>
        <v>4.4481782808631021E-2</v>
      </c>
      <c r="J111" s="192">
        <f t="shared" si="61"/>
        <v>2.8027275027022056</v>
      </c>
      <c r="K111" s="191">
        <f t="shared" si="62"/>
        <v>7042</v>
      </c>
      <c r="L111" s="191">
        <f t="shared" si="63"/>
        <v>121871</v>
      </c>
      <c r="M111" s="192">
        <f t="shared" si="60"/>
        <v>3.6221053703778747E-2</v>
      </c>
    </row>
    <row r="112" spans="2:13" x14ac:dyDescent="0.25">
      <c r="B112" s="194" t="s">
        <v>112</v>
      </c>
      <c r="C112" s="195">
        <v>19022</v>
      </c>
      <c r="D112" s="195">
        <v>16912</v>
      </c>
      <c r="E112" s="195">
        <v>75653</v>
      </c>
      <c r="F112" s="195">
        <v>109003</v>
      </c>
      <c r="G112" s="195">
        <v>98238</v>
      </c>
      <c r="H112" s="195">
        <v>100915</v>
      </c>
      <c r="I112" s="212">
        <f t="shared" ref="I112:I119" si="64">IFERROR(H112/G112-1,"-")</f>
        <v>2.725014760072475E-2</v>
      </c>
      <c r="J112" s="196">
        <f t="shared" si="61"/>
        <v>4.9670648060548723</v>
      </c>
      <c r="K112" s="195">
        <f t="shared" si="62"/>
        <v>2677</v>
      </c>
      <c r="L112" s="195">
        <f t="shared" si="63"/>
        <v>84003</v>
      </c>
      <c r="M112" s="196">
        <f t="shared" si="60"/>
        <v>2.2105589429447323E-2</v>
      </c>
    </row>
    <row r="113" spans="2:13" x14ac:dyDescent="0.25">
      <c r="B113" s="194" t="s">
        <v>115</v>
      </c>
      <c r="C113" s="195">
        <v>2421</v>
      </c>
      <c r="D113" s="195">
        <v>5697</v>
      </c>
      <c r="E113" s="195">
        <v>5137</v>
      </c>
      <c r="F113" s="195">
        <v>6845</v>
      </c>
      <c r="G113" s="195">
        <v>6748</v>
      </c>
      <c r="H113" s="195">
        <v>7779</v>
      </c>
      <c r="I113" s="212">
        <f t="shared" si="64"/>
        <v>0.152786010669828</v>
      </c>
      <c r="J113" s="196">
        <f t="shared" si="61"/>
        <v>0.36545550289626116</v>
      </c>
      <c r="K113" s="195">
        <f t="shared" si="62"/>
        <v>1031</v>
      </c>
      <c r="L113" s="195">
        <f t="shared" si="63"/>
        <v>2082</v>
      </c>
      <c r="M113" s="196">
        <f t="shared" si="60"/>
        <v>1.7040021817536612E-3</v>
      </c>
    </row>
    <row r="114" spans="2:13" x14ac:dyDescent="0.25">
      <c r="B114" s="194" t="s">
        <v>118</v>
      </c>
      <c r="C114" s="195">
        <v>2278</v>
      </c>
      <c r="D114" s="195">
        <v>5489</v>
      </c>
      <c r="E114" s="195">
        <v>8163</v>
      </c>
      <c r="F114" s="195">
        <v>11769</v>
      </c>
      <c r="G114" s="195">
        <v>12112</v>
      </c>
      <c r="H114" s="195">
        <v>13316</v>
      </c>
      <c r="I114" s="212">
        <f t="shared" si="64"/>
        <v>9.9405548216644712E-2</v>
      </c>
      <c r="J114" s="196">
        <f t="shared" si="61"/>
        <v>1.4259427946802696</v>
      </c>
      <c r="K114" s="195">
        <f t="shared" si="62"/>
        <v>1204</v>
      </c>
      <c r="L114" s="195">
        <f t="shared" si="63"/>
        <v>7827</v>
      </c>
      <c r="M114" s="196">
        <f t="shared" si="60"/>
        <v>2.9168907381709411E-3</v>
      </c>
    </row>
    <row r="115" spans="2:13" x14ac:dyDescent="0.25">
      <c r="B115" s="194" t="s">
        <v>125</v>
      </c>
      <c r="C115" s="195">
        <v>1106</v>
      </c>
      <c r="D115" s="195">
        <v>2746</v>
      </c>
      <c r="E115" s="195">
        <v>5044</v>
      </c>
      <c r="F115" s="195">
        <v>5191</v>
      </c>
      <c r="G115" s="195">
        <v>5187</v>
      </c>
      <c r="H115" s="195">
        <v>5543</v>
      </c>
      <c r="I115" s="212">
        <f t="shared" si="64"/>
        <v>6.8633121264700225E-2</v>
      </c>
      <c r="J115" s="196">
        <f t="shared" si="61"/>
        <v>1.0185724690458851</v>
      </c>
      <c r="K115" s="195">
        <f t="shared" si="62"/>
        <v>356</v>
      </c>
      <c r="L115" s="195">
        <f t="shared" si="63"/>
        <v>2797</v>
      </c>
      <c r="M115" s="196">
        <f t="shared" si="60"/>
        <v>1.2142028658517219E-3</v>
      </c>
    </row>
    <row r="116" spans="2:13" x14ac:dyDescent="0.25">
      <c r="B116" s="194" t="s">
        <v>121</v>
      </c>
      <c r="C116" s="195">
        <v>2696</v>
      </c>
      <c r="D116" s="195">
        <v>3282</v>
      </c>
      <c r="E116" s="195">
        <v>4104</v>
      </c>
      <c r="F116" s="195">
        <v>4377</v>
      </c>
      <c r="G116" s="195">
        <v>4218</v>
      </c>
      <c r="H116" s="195">
        <v>4084</v>
      </c>
      <c r="I116" s="212">
        <f t="shared" si="64"/>
        <v>-3.176861071597914E-2</v>
      </c>
      <c r="J116" s="196">
        <f t="shared" si="61"/>
        <v>0.2443631931748933</v>
      </c>
      <c r="K116" s="195">
        <f t="shared" si="62"/>
        <v>-134</v>
      </c>
      <c r="L116" s="195">
        <f t="shared" si="63"/>
        <v>802</v>
      </c>
      <c r="M116" s="196">
        <f t="shared" si="60"/>
        <v>8.9460662170998226E-4</v>
      </c>
    </row>
    <row r="117" spans="2:13" x14ac:dyDescent="0.25">
      <c r="B117" s="194" t="s">
        <v>130</v>
      </c>
      <c r="C117" s="195">
        <v>403</v>
      </c>
      <c r="D117" s="195">
        <v>139</v>
      </c>
      <c r="E117" s="195">
        <v>926</v>
      </c>
      <c r="F117" s="195">
        <v>1004</v>
      </c>
      <c r="G117" s="195">
        <v>964</v>
      </c>
      <c r="H117" s="195">
        <v>984</v>
      </c>
      <c r="I117" s="212">
        <f t="shared" si="64"/>
        <v>2.0746887966804906E-2</v>
      </c>
      <c r="J117" s="196">
        <f t="shared" si="61"/>
        <v>6.0791366906474824</v>
      </c>
      <c r="K117" s="195">
        <f t="shared" si="62"/>
        <v>20</v>
      </c>
      <c r="L117" s="195">
        <f t="shared" si="63"/>
        <v>845</v>
      </c>
      <c r="M117" s="196">
        <f t="shared" si="60"/>
        <v>2.1554674724843845E-4</v>
      </c>
    </row>
    <row r="118" spans="2:13" x14ac:dyDescent="0.25">
      <c r="B118" s="194" t="s">
        <v>133</v>
      </c>
      <c r="C118" s="195">
        <v>925</v>
      </c>
      <c r="D118" s="195">
        <v>100</v>
      </c>
      <c r="E118" s="195">
        <v>781</v>
      </c>
      <c r="F118" s="195">
        <v>524</v>
      </c>
      <c r="G118" s="195">
        <v>1183</v>
      </c>
      <c r="H118" s="195">
        <v>808</v>
      </c>
      <c r="I118" s="212">
        <f t="shared" si="64"/>
        <v>-0.31699070160608622</v>
      </c>
      <c r="J118" s="196">
        <f t="shared" si="61"/>
        <v>7.08</v>
      </c>
      <c r="K118" s="195">
        <f t="shared" si="62"/>
        <v>-375</v>
      </c>
      <c r="L118" s="195">
        <f t="shared" si="63"/>
        <v>708</v>
      </c>
      <c r="M118" s="196">
        <f t="shared" si="60"/>
        <v>1.7699367050481529E-4</v>
      </c>
    </row>
    <row r="119" spans="2:13" x14ac:dyDescent="0.25">
      <c r="B119" s="199" t="s">
        <v>147</v>
      </c>
      <c r="C119" s="200">
        <f t="shared" ref="C119" si="65">C111-SUM(C112:C118)</f>
        <v>8691</v>
      </c>
      <c r="D119" s="200">
        <f t="shared" ref="D119:E119" si="66">D111-SUM(D112:D118)</f>
        <v>9118</v>
      </c>
      <c r="E119" s="200">
        <f t="shared" si="66"/>
        <v>24237</v>
      </c>
      <c r="F119" s="200">
        <f t="shared" ref="F119:H119" si="67">F111-SUM(F112:F118)</f>
        <v>25820</v>
      </c>
      <c r="G119" s="200">
        <f t="shared" si="67"/>
        <v>29662</v>
      </c>
      <c r="H119" s="200">
        <f t="shared" si="67"/>
        <v>31925</v>
      </c>
      <c r="I119" s="213">
        <f t="shared" si="64"/>
        <v>7.6292900006742714E-2</v>
      </c>
      <c r="J119" s="201">
        <f t="shared" si="61"/>
        <v>2.5013160780872998</v>
      </c>
      <c r="K119" s="200">
        <f>H119-G119</f>
        <v>2263</v>
      </c>
      <c r="L119" s="200">
        <f t="shared" si="63"/>
        <v>22807</v>
      </c>
      <c r="M119" s="201">
        <f t="shared" si="60"/>
        <v>6.993221449091867E-3</v>
      </c>
    </row>
    <row r="120" spans="2:13" x14ac:dyDescent="0.25">
      <c r="B120" s="186" t="s">
        <v>53</v>
      </c>
      <c r="C120" s="184"/>
      <c r="D120" s="184"/>
      <c r="E120" s="184"/>
      <c r="F120" s="184"/>
      <c r="G120" s="184"/>
      <c r="H120" s="184"/>
      <c r="I120" s="185"/>
      <c r="J120" s="185"/>
      <c r="K120" s="185"/>
      <c r="L120" s="184"/>
      <c r="M120" s="184"/>
    </row>
    <row r="121" spans="2:13" x14ac:dyDescent="0.25">
      <c r="B121" s="187" t="s">
        <v>70</v>
      </c>
      <c r="C121" s="209">
        <v>76350</v>
      </c>
      <c r="D121" s="209">
        <v>123320</v>
      </c>
      <c r="E121" s="209">
        <v>179915</v>
      </c>
      <c r="F121" s="209">
        <v>194865</v>
      </c>
      <c r="G121" s="209">
        <v>201157</v>
      </c>
      <c r="H121" s="209">
        <v>227882</v>
      </c>
      <c r="I121" s="210">
        <f>IFERROR(H121/G121-1,"-")</f>
        <v>0.13285642557803112</v>
      </c>
      <c r="J121" s="210">
        <f>IFERROR(H121/D121-1,"-")</f>
        <v>0.84789166396367177</v>
      </c>
      <c r="K121" s="209">
        <f>H121-G121</f>
        <v>26725</v>
      </c>
      <c r="L121" s="209">
        <f>H121-D121</f>
        <v>104562</v>
      </c>
      <c r="M121" s="210">
        <f t="shared" ref="M121:M133" si="68">H121/H$9</f>
        <v>4.9917910423240494E-2</v>
      </c>
    </row>
    <row r="122" spans="2:13" x14ac:dyDescent="0.25">
      <c r="B122" s="190" t="s">
        <v>99</v>
      </c>
      <c r="C122" s="191">
        <v>43048</v>
      </c>
      <c r="D122" s="191">
        <v>81482</v>
      </c>
      <c r="E122" s="191">
        <v>110405</v>
      </c>
      <c r="F122" s="191">
        <v>122286</v>
      </c>
      <c r="G122" s="191">
        <v>128586</v>
      </c>
      <c r="H122" s="191">
        <v>148985</v>
      </c>
      <c r="I122" s="211">
        <f>IFERROR(H122/G122-1,"-")</f>
        <v>0.15864090958580257</v>
      </c>
      <c r="J122" s="192">
        <f t="shared" ref="J122:J133" si="69">IFERROR(H122/D122-1,"-")</f>
        <v>0.82844063719594518</v>
      </c>
      <c r="K122" s="191">
        <f t="shared" ref="K122:K132" si="70">H122-G122</f>
        <v>20399</v>
      </c>
      <c r="L122" s="191">
        <f t="shared" ref="L122:L133" si="71">H122-D122</f>
        <v>67503</v>
      </c>
      <c r="M122" s="192">
        <f t="shared" si="68"/>
        <v>3.2635398515049388E-2</v>
      </c>
    </row>
    <row r="123" spans="2:13" x14ac:dyDescent="0.25">
      <c r="B123" s="194" t="s">
        <v>105</v>
      </c>
      <c r="C123" s="195">
        <v>19485</v>
      </c>
      <c r="D123" s="195">
        <v>41503</v>
      </c>
      <c r="E123" s="195">
        <v>57305</v>
      </c>
      <c r="F123" s="195">
        <v>55716</v>
      </c>
      <c r="G123" s="195">
        <v>62457</v>
      </c>
      <c r="H123" s="195">
        <v>78684</v>
      </c>
      <c r="I123" s="212">
        <f>IFERROR(H123/G123-1,"-")</f>
        <v>0.2598107497958595</v>
      </c>
      <c r="J123" s="196">
        <f t="shared" si="69"/>
        <v>0.8958629496662891</v>
      </c>
      <c r="K123" s="195">
        <f t="shared" si="70"/>
        <v>16227</v>
      </c>
      <c r="L123" s="195">
        <f t="shared" si="71"/>
        <v>37181</v>
      </c>
      <c r="M123" s="196">
        <f t="shared" si="68"/>
        <v>1.7235853923268426E-2</v>
      </c>
    </row>
    <row r="124" spans="2:13" x14ac:dyDescent="0.25">
      <c r="B124" s="194" t="s">
        <v>102</v>
      </c>
      <c r="C124" s="195">
        <v>23563</v>
      </c>
      <c r="D124" s="195">
        <v>39979</v>
      </c>
      <c r="E124" s="195">
        <v>53100</v>
      </c>
      <c r="F124" s="195">
        <v>66570</v>
      </c>
      <c r="G124" s="195">
        <v>66129</v>
      </c>
      <c r="H124" s="195">
        <v>70301</v>
      </c>
      <c r="I124" s="212">
        <f>IFERROR(H124/G124-1,"-")</f>
        <v>6.3088811262834721E-2</v>
      </c>
      <c r="J124" s="196">
        <f t="shared" si="69"/>
        <v>0.75844818529728109</v>
      </c>
      <c r="K124" s="195">
        <f t="shared" si="70"/>
        <v>4172</v>
      </c>
      <c r="L124" s="195">
        <f t="shared" si="71"/>
        <v>30322</v>
      </c>
      <c r="M124" s="196">
        <f t="shared" si="68"/>
        <v>1.5399544591780966E-2</v>
      </c>
    </row>
    <row r="125" spans="2:13" x14ac:dyDescent="0.25">
      <c r="B125" s="190" t="s">
        <v>109</v>
      </c>
      <c r="C125" s="191">
        <v>33302</v>
      </c>
      <c r="D125" s="191">
        <v>41838</v>
      </c>
      <c r="E125" s="191">
        <v>69510</v>
      </c>
      <c r="F125" s="191">
        <v>72579</v>
      </c>
      <c r="G125" s="191">
        <v>72571</v>
      </c>
      <c r="H125" s="191">
        <v>78897</v>
      </c>
      <c r="I125" s="211">
        <f>IFERROR(H125/G125-1,"-")</f>
        <v>8.7169806120902305E-2</v>
      </c>
      <c r="J125" s="192">
        <f t="shared" si="69"/>
        <v>0.88577369855155608</v>
      </c>
      <c r="K125" s="191">
        <f t="shared" si="70"/>
        <v>6326</v>
      </c>
      <c r="L125" s="191">
        <f t="shared" si="71"/>
        <v>37059</v>
      </c>
      <c r="M125" s="192">
        <f t="shared" si="68"/>
        <v>1.7282511908191106E-2</v>
      </c>
    </row>
    <row r="126" spans="2:13" x14ac:dyDescent="0.25">
      <c r="B126" s="194" t="s">
        <v>112</v>
      </c>
      <c r="C126" s="195">
        <v>3167</v>
      </c>
      <c r="D126" s="195">
        <v>1935</v>
      </c>
      <c r="E126" s="195">
        <v>7687</v>
      </c>
      <c r="F126" s="195">
        <v>9446</v>
      </c>
      <c r="G126" s="195">
        <v>8418</v>
      </c>
      <c r="H126" s="195">
        <v>8188</v>
      </c>
      <c r="I126" s="212">
        <f t="shared" ref="I126:I133" si="72">IFERROR(H126/G126-1,"-")</f>
        <v>-2.732240437158473E-2</v>
      </c>
      <c r="J126" s="196">
        <f t="shared" si="69"/>
        <v>3.2315245478036179</v>
      </c>
      <c r="K126" s="195">
        <f t="shared" si="70"/>
        <v>-230</v>
      </c>
      <c r="L126" s="195">
        <f t="shared" si="71"/>
        <v>6253</v>
      </c>
      <c r="M126" s="196">
        <f t="shared" si="68"/>
        <v>1.7935942748681037E-3</v>
      </c>
    </row>
    <row r="127" spans="2:13" x14ac:dyDescent="0.25">
      <c r="B127" s="194" t="s">
        <v>115</v>
      </c>
      <c r="C127" s="195">
        <v>3337</v>
      </c>
      <c r="D127" s="195">
        <v>4426</v>
      </c>
      <c r="E127" s="195">
        <v>7498</v>
      </c>
      <c r="F127" s="195">
        <v>10075</v>
      </c>
      <c r="G127" s="195">
        <v>9604</v>
      </c>
      <c r="H127" s="195">
        <v>10743</v>
      </c>
      <c r="I127" s="212">
        <f t="shared" si="72"/>
        <v>0.11859641815910038</v>
      </c>
      <c r="J127" s="196">
        <f t="shared" si="69"/>
        <v>1.4272480795300497</v>
      </c>
      <c r="K127" s="195">
        <f t="shared" si="70"/>
        <v>1139</v>
      </c>
      <c r="L127" s="195">
        <f t="shared" si="71"/>
        <v>6317</v>
      </c>
      <c r="M127" s="196">
        <f t="shared" si="68"/>
        <v>2.3532710423678597E-3</v>
      </c>
    </row>
    <row r="128" spans="2:13" x14ac:dyDescent="0.25">
      <c r="B128" s="194" t="s">
        <v>118</v>
      </c>
      <c r="C128" s="195">
        <v>2423</v>
      </c>
      <c r="D128" s="195">
        <v>5516</v>
      </c>
      <c r="E128" s="195">
        <v>6537</v>
      </c>
      <c r="F128" s="195">
        <v>7047</v>
      </c>
      <c r="G128" s="195">
        <v>6923</v>
      </c>
      <c r="H128" s="195">
        <v>7567</v>
      </c>
      <c r="I128" s="212">
        <f t="shared" si="72"/>
        <v>9.3023255813953432E-2</v>
      </c>
      <c r="J128" s="196">
        <f t="shared" si="69"/>
        <v>0.37182741116751261</v>
      </c>
      <c r="K128" s="195">
        <f t="shared" si="70"/>
        <v>644</v>
      </c>
      <c r="L128" s="195">
        <f t="shared" si="71"/>
        <v>2051</v>
      </c>
      <c r="M128" s="196">
        <f t="shared" si="68"/>
        <v>1.6575632484033878E-3</v>
      </c>
    </row>
    <row r="129" spans="2:13" x14ac:dyDescent="0.25">
      <c r="B129" s="194" t="s">
        <v>125</v>
      </c>
      <c r="C129" s="195">
        <v>624</v>
      </c>
      <c r="D129" s="195">
        <v>833</v>
      </c>
      <c r="E129" s="195">
        <v>1977</v>
      </c>
      <c r="F129" s="195">
        <v>2052</v>
      </c>
      <c r="G129" s="195">
        <v>1813</v>
      </c>
      <c r="H129" s="195">
        <v>2156</v>
      </c>
      <c r="I129" s="212">
        <f t="shared" si="72"/>
        <v>0.18918918918918926</v>
      </c>
      <c r="J129" s="196">
        <f t="shared" si="69"/>
        <v>1.5882352941176472</v>
      </c>
      <c r="K129" s="195">
        <f t="shared" si="70"/>
        <v>343</v>
      </c>
      <c r="L129" s="195">
        <f t="shared" si="71"/>
        <v>1323</v>
      </c>
      <c r="M129" s="196">
        <f t="shared" si="68"/>
        <v>4.722751901093834E-4</v>
      </c>
    </row>
    <row r="130" spans="2:13" x14ac:dyDescent="0.25">
      <c r="B130" s="194" t="s">
        <v>121</v>
      </c>
      <c r="C130" s="195">
        <v>625</v>
      </c>
      <c r="D130" s="195">
        <v>755</v>
      </c>
      <c r="E130" s="195">
        <v>1373</v>
      </c>
      <c r="F130" s="195">
        <v>1433</v>
      </c>
      <c r="G130" s="195">
        <v>1546</v>
      </c>
      <c r="H130" s="195">
        <v>1916</v>
      </c>
      <c r="I130" s="212">
        <f t="shared" si="72"/>
        <v>0.239327296248383</v>
      </c>
      <c r="J130" s="196">
        <f t="shared" si="69"/>
        <v>1.5377483443708608</v>
      </c>
      <c r="K130" s="195">
        <f t="shared" si="70"/>
        <v>370</v>
      </c>
      <c r="L130" s="195">
        <f t="shared" si="71"/>
        <v>1161</v>
      </c>
      <c r="M130" s="196">
        <f t="shared" si="68"/>
        <v>4.1970281273171546E-4</v>
      </c>
    </row>
    <row r="131" spans="2:13" x14ac:dyDescent="0.25">
      <c r="B131" s="194" t="s">
        <v>130</v>
      </c>
      <c r="C131" s="195">
        <v>652</v>
      </c>
      <c r="D131" s="195">
        <v>207</v>
      </c>
      <c r="E131" s="195">
        <v>785</v>
      </c>
      <c r="F131" s="195">
        <v>976</v>
      </c>
      <c r="G131" s="195">
        <v>1058</v>
      </c>
      <c r="H131" s="195">
        <v>814</v>
      </c>
      <c r="I131" s="212">
        <f t="shared" si="72"/>
        <v>-0.23062381852551983</v>
      </c>
      <c r="J131" s="196">
        <f t="shared" si="69"/>
        <v>2.9323671497584543</v>
      </c>
      <c r="K131" s="195">
        <f t="shared" si="70"/>
        <v>-244</v>
      </c>
      <c r="L131" s="195">
        <f t="shared" si="71"/>
        <v>607</v>
      </c>
      <c r="M131" s="196">
        <f t="shared" si="68"/>
        <v>1.7830797993925699E-4</v>
      </c>
    </row>
    <row r="132" spans="2:13" x14ac:dyDescent="0.25">
      <c r="B132" s="194" t="s">
        <v>133</v>
      </c>
      <c r="C132" s="195">
        <v>1030</v>
      </c>
      <c r="D132" s="195">
        <v>358</v>
      </c>
      <c r="E132" s="195">
        <v>1266</v>
      </c>
      <c r="F132" s="195">
        <v>1806</v>
      </c>
      <c r="G132" s="195">
        <v>1655</v>
      </c>
      <c r="H132" s="195">
        <v>1540</v>
      </c>
      <c r="I132" s="212">
        <f t="shared" si="72"/>
        <v>-6.9486404833836835E-2</v>
      </c>
      <c r="J132" s="196">
        <f t="shared" si="69"/>
        <v>3.3016759776536313</v>
      </c>
      <c r="K132" s="195">
        <f t="shared" si="70"/>
        <v>-115</v>
      </c>
      <c r="L132" s="195">
        <f t="shared" si="71"/>
        <v>1182</v>
      </c>
      <c r="M132" s="196">
        <f t="shared" si="68"/>
        <v>3.3733942150670246E-4</v>
      </c>
    </row>
    <row r="133" spans="2:13" x14ac:dyDescent="0.25">
      <c r="B133" s="199" t="s">
        <v>147</v>
      </c>
      <c r="C133" s="200">
        <f t="shared" ref="C133" si="73">C125-SUM(C126:C132)</f>
        <v>21444</v>
      </c>
      <c r="D133" s="200">
        <f t="shared" ref="D133:E133" si="74">D125-SUM(D126:D132)</f>
        <v>27808</v>
      </c>
      <c r="E133" s="200">
        <f t="shared" si="74"/>
        <v>42387</v>
      </c>
      <c r="F133" s="200">
        <f t="shared" ref="F133:H133" si="75">F125-SUM(F126:F132)</f>
        <v>39744</v>
      </c>
      <c r="G133" s="200">
        <f t="shared" si="75"/>
        <v>41554</v>
      </c>
      <c r="H133" s="200">
        <f t="shared" si="75"/>
        <v>45973</v>
      </c>
      <c r="I133" s="213">
        <f t="shared" si="72"/>
        <v>0.10634355296722342</v>
      </c>
      <c r="J133" s="201">
        <f t="shared" si="69"/>
        <v>0.65322928653624857</v>
      </c>
      <c r="K133" s="200">
        <f>H133-G133</f>
        <v>4419</v>
      </c>
      <c r="L133" s="200">
        <f t="shared" si="71"/>
        <v>18165</v>
      </c>
      <c r="M133" s="201">
        <f t="shared" si="68"/>
        <v>1.0070457938264695E-2</v>
      </c>
    </row>
    <row r="134" spans="2:13" x14ac:dyDescent="0.25">
      <c r="B134" s="186" t="s">
        <v>54</v>
      </c>
      <c r="C134" s="184"/>
      <c r="D134" s="184"/>
      <c r="E134" s="184"/>
      <c r="F134" s="184"/>
      <c r="G134" s="184"/>
      <c r="H134" s="184"/>
      <c r="I134" s="185"/>
      <c r="J134" s="185"/>
      <c r="K134" s="185"/>
      <c r="L134" s="184"/>
      <c r="M134" s="184"/>
    </row>
    <row r="135" spans="2:13" x14ac:dyDescent="0.25">
      <c r="B135" s="187" t="s">
        <v>70</v>
      </c>
      <c r="C135" s="209">
        <v>77984</v>
      </c>
      <c r="D135" s="209">
        <v>100724</v>
      </c>
      <c r="E135" s="209">
        <v>212753</v>
      </c>
      <c r="F135" s="209">
        <v>230245</v>
      </c>
      <c r="G135" s="209">
        <v>241157</v>
      </c>
      <c r="H135" s="209">
        <v>240215</v>
      </c>
      <c r="I135" s="210">
        <f>IFERROR(H135/G135-1,"-")</f>
        <v>-3.9061690102298874E-3</v>
      </c>
      <c r="J135" s="210">
        <f>IFERROR(H135/D135-1,"-")</f>
        <v>1.384883443866407</v>
      </c>
      <c r="K135" s="209">
        <f>H135-G135</f>
        <v>-942</v>
      </c>
      <c r="L135" s="209">
        <f>H135-D135</f>
        <v>139491</v>
      </c>
      <c r="M135" s="210">
        <f t="shared" ref="M135:M147" si="76">H135/H$9</f>
        <v>5.2619473465735409E-2</v>
      </c>
    </row>
    <row r="136" spans="2:13" x14ac:dyDescent="0.25">
      <c r="B136" s="190" t="s">
        <v>99</v>
      </c>
      <c r="C136" s="191">
        <v>18408</v>
      </c>
      <c r="D136" s="191">
        <v>41930</v>
      </c>
      <c r="E136" s="191">
        <v>26151</v>
      </c>
      <c r="F136" s="191">
        <v>28851</v>
      </c>
      <c r="G136" s="191">
        <v>26485</v>
      </c>
      <c r="H136" s="191">
        <v>29464</v>
      </c>
      <c r="I136" s="211">
        <f>IFERROR(H136/G136-1,"-")</f>
        <v>0.11247876156314884</v>
      </c>
      <c r="J136" s="192">
        <f t="shared" ref="J136:J147" si="77">IFERROR(H136/D136-1,"-")</f>
        <v>-0.29730503219651805</v>
      </c>
      <c r="K136" s="191">
        <f t="shared" ref="K136:K146" si="78">H136-G136</f>
        <v>2979</v>
      </c>
      <c r="L136" s="191">
        <f t="shared" ref="L136:L147" si="79">H136-D136</f>
        <v>-12466</v>
      </c>
      <c r="M136" s="192">
        <f t="shared" si="76"/>
        <v>6.4541355293983643E-3</v>
      </c>
    </row>
    <row r="137" spans="2:13" x14ac:dyDescent="0.25">
      <c r="B137" s="194" t="s">
        <v>105</v>
      </c>
      <c r="C137" s="195">
        <v>13319</v>
      </c>
      <c r="D137" s="195">
        <v>31931</v>
      </c>
      <c r="E137" s="195">
        <v>18308</v>
      </c>
      <c r="F137" s="195">
        <v>19153</v>
      </c>
      <c r="G137" s="195">
        <v>17562</v>
      </c>
      <c r="H137" s="195">
        <v>18125</v>
      </c>
      <c r="I137" s="212">
        <f>IFERROR(H137/G137-1,"-")</f>
        <v>3.2057852180845003E-2</v>
      </c>
      <c r="J137" s="196">
        <f t="shared" si="77"/>
        <v>-0.43236979737559111</v>
      </c>
      <c r="K137" s="195">
        <f t="shared" si="78"/>
        <v>563</v>
      </c>
      <c r="L137" s="195">
        <f t="shared" si="79"/>
        <v>-13806</v>
      </c>
      <c r="M137" s="196">
        <f t="shared" si="76"/>
        <v>3.9703097498759617E-3</v>
      </c>
    </row>
    <row r="138" spans="2:13" x14ac:dyDescent="0.25">
      <c r="B138" s="194" t="s">
        <v>102</v>
      </c>
      <c r="C138" s="195">
        <v>5089</v>
      </c>
      <c r="D138" s="195">
        <v>9999</v>
      </c>
      <c r="E138" s="195">
        <v>7843</v>
      </c>
      <c r="F138" s="195">
        <v>9698</v>
      </c>
      <c r="G138" s="195">
        <v>8923</v>
      </c>
      <c r="H138" s="195">
        <v>11339</v>
      </c>
      <c r="I138" s="212">
        <f>IFERROR(H138/G138-1,"-")</f>
        <v>0.27076095483581764</v>
      </c>
      <c r="J138" s="196">
        <f t="shared" si="77"/>
        <v>0.13401340134013395</v>
      </c>
      <c r="K138" s="195">
        <f t="shared" si="78"/>
        <v>2416</v>
      </c>
      <c r="L138" s="195">
        <f t="shared" si="79"/>
        <v>1340</v>
      </c>
      <c r="M138" s="196">
        <f t="shared" si="76"/>
        <v>2.4838257795224018E-3</v>
      </c>
    </row>
    <row r="139" spans="2:13" x14ac:dyDescent="0.25">
      <c r="B139" s="190" t="s">
        <v>109</v>
      </c>
      <c r="C139" s="191">
        <v>59576</v>
      </c>
      <c r="D139" s="191">
        <v>58794</v>
      </c>
      <c r="E139" s="191">
        <v>186602</v>
      </c>
      <c r="F139" s="191">
        <v>201394</v>
      </c>
      <c r="G139" s="191">
        <v>214672</v>
      </c>
      <c r="H139" s="191">
        <v>210751</v>
      </c>
      <c r="I139" s="211">
        <f>IFERROR(H139/G139-1,"-")</f>
        <v>-1.8265074159648176E-2</v>
      </c>
      <c r="J139" s="192">
        <f t="shared" si="77"/>
        <v>2.5845664523590841</v>
      </c>
      <c r="K139" s="191">
        <f t="shared" si="78"/>
        <v>-3921</v>
      </c>
      <c r="L139" s="191">
        <f t="shared" si="79"/>
        <v>151957</v>
      </c>
      <c r="M139" s="192">
        <f t="shared" si="76"/>
        <v>4.6165337936337043E-2</v>
      </c>
    </row>
    <row r="140" spans="2:13" x14ac:dyDescent="0.25">
      <c r="B140" s="194" t="s">
        <v>112</v>
      </c>
      <c r="C140" s="195">
        <v>22964</v>
      </c>
      <c r="D140" s="195">
        <v>13701</v>
      </c>
      <c r="E140" s="195">
        <v>80833</v>
      </c>
      <c r="F140" s="195">
        <v>87905</v>
      </c>
      <c r="G140" s="195">
        <v>97506</v>
      </c>
      <c r="H140" s="195">
        <v>98785</v>
      </c>
      <c r="I140" s="212">
        <f t="shared" ref="I140:I147" si="80">IFERROR(H140/G140-1,"-")</f>
        <v>1.3117141509240371E-2</v>
      </c>
      <c r="J140" s="196">
        <f t="shared" si="77"/>
        <v>6.2100576600248161</v>
      </c>
      <c r="K140" s="195">
        <f t="shared" si="78"/>
        <v>1279</v>
      </c>
      <c r="L140" s="195">
        <f t="shared" si="79"/>
        <v>85084</v>
      </c>
      <c r="M140" s="196">
        <f t="shared" si="76"/>
        <v>2.1639009580220518E-2</v>
      </c>
    </row>
    <row r="141" spans="2:13" x14ac:dyDescent="0.25">
      <c r="B141" s="194" t="s">
        <v>115</v>
      </c>
      <c r="C141" s="195">
        <v>4511</v>
      </c>
      <c r="D141" s="195">
        <v>5770</v>
      </c>
      <c r="E141" s="195">
        <v>12481</v>
      </c>
      <c r="F141" s="195">
        <v>16637</v>
      </c>
      <c r="G141" s="195">
        <v>17191</v>
      </c>
      <c r="H141" s="195">
        <v>17293</v>
      </c>
      <c r="I141" s="212">
        <f t="shared" si="80"/>
        <v>5.9333372113314908E-3</v>
      </c>
      <c r="J141" s="196">
        <f t="shared" si="77"/>
        <v>1.997053726169844</v>
      </c>
      <c r="K141" s="195">
        <f t="shared" si="78"/>
        <v>102</v>
      </c>
      <c r="L141" s="195">
        <f t="shared" si="79"/>
        <v>11523</v>
      </c>
      <c r="M141" s="196">
        <f t="shared" si="76"/>
        <v>3.7880588416333801E-3</v>
      </c>
    </row>
    <row r="142" spans="2:13" x14ac:dyDescent="0.25">
      <c r="B142" s="194" t="s">
        <v>118</v>
      </c>
      <c r="C142" s="195">
        <v>5537</v>
      </c>
      <c r="D142" s="195">
        <v>11338</v>
      </c>
      <c r="E142" s="195">
        <v>23382</v>
      </c>
      <c r="F142" s="195">
        <v>21760</v>
      </c>
      <c r="G142" s="195">
        <v>21823</v>
      </c>
      <c r="H142" s="195">
        <v>20178</v>
      </c>
      <c r="I142" s="212">
        <f t="shared" si="80"/>
        <v>-7.5379187096182965E-2</v>
      </c>
      <c r="J142" s="196">
        <f t="shared" si="77"/>
        <v>0.7796789557241135</v>
      </c>
      <c r="K142" s="195">
        <f t="shared" si="78"/>
        <v>-1645</v>
      </c>
      <c r="L142" s="195">
        <f t="shared" si="79"/>
        <v>8840</v>
      </c>
      <c r="M142" s="196">
        <f t="shared" si="76"/>
        <v>4.4200226280274296E-3</v>
      </c>
    </row>
    <row r="143" spans="2:13" x14ac:dyDescent="0.25">
      <c r="B143" s="194" t="s">
        <v>125</v>
      </c>
      <c r="C143" s="195">
        <v>955</v>
      </c>
      <c r="D143" s="195">
        <v>2481</v>
      </c>
      <c r="E143" s="195">
        <v>8695</v>
      </c>
      <c r="F143" s="195">
        <v>7539</v>
      </c>
      <c r="G143" s="195">
        <v>5432</v>
      </c>
      <c r="H143" s="195">
        <v>4953</v>
      </c>
      <c r="I143" s="212">
        <f t="shared" si="80"/>
        <v>-8.8181148748159077E-2</v>
      </c>
      <c r="J143" s="196">
        <f t="shared" si="77"/>
        <v>0.99637243047158397</v>
      </c>
      <c r="K143" s="195">
        <f t="shared" si="78"/>
        <v>-479</v>
      </c>
      <c r="L143" s="195">
        <f t="shared" si="79"/>
        <v>2472</v>
      </c>
      <c r="M143" s="196">
        <f t="shared" si="76"/>
        <v>1.0849624381316216E-3</v>
      </c>
    </row>
    <row r="144" spans="2:13" x14ac:dyDescent="0.25">
      <c r="B144" s="194" t="s">
        <v>121</v>
      </c>
      <c r="C144" s="195">
        <v>1651</v>
      </c>
      <c r="D144" s="195">
        <v>2167</v>
      </c>
      <c r="E144" s="195">
        <v>3679</v>
      </c>
      <c r="F144" s="195">
        <v>4531</v>
      </c>
      <c r="G144" s="195">
        <v>4642</v>
      </c>
      <c r="H144" s="195">
        <v>3681</v>
      </c>
      <c r="I144" s="212">
        <f t="shared" si="80"/>
        <v>-0.20702283498492025</v>
      </c>
      <c r="J144" s="196">
        <f t="shared" si="77"/>
        <v>0.69866174434702355</v>
      </c>
      <c r="K144" s="195">
        <f t="shared" si="78"/>
        <v>-961</v>
      </c>
      <c r="L144" s="195">
        <f t="shared" si="79"/>
        <v>1514</v>
      </c>
      <c r="M144" s="196">
        <f t="shared" si="76"/>
        <v>8.063288380299816E-4</v>
      </c>
    </row>
    <row r="145" spans="2:13" x14ac:dyDescent="0.25">
      <c r="B145" s="194" t="s">
        <v>130</v>
      </c>
      <c r="C145" s="195">
        <v>1965</v>
      </c>
      <c r="D145" s="195">
        <v>352</v>
      </c>
      <c r="E145" s="195">
        <v>1984</v>
      </c>
      <c r="F145" s="195">
        <v>2349</v>
      </c>
      <c r="G145" s="195">
        <v>2212</v>
      </c>
      <c r="H145" s="195">
        <v>2486</v>
      </c>
      <c r="I145" s="212">
        <f t="shared" si="80"/>
        <v>0.12386980108499102</v>
      </c>
      <c r="J145" s="196">
        <f t="shared" si="77"/>
        <v>6.0625</v>
      </c>
      <c r="K145" s="195">
        <f t="shared" si="78"/>
        <v>274</v>
      </c>
      <c r="L145" s="195">
        <f t="shared" si="79"/>
        <v>2134</v>
      </c>
      <c r="M145" s="196">
        <f t="shared" si="76"/>
        <v>5.4456220900367673E-4</v>
      </c>
    </row>
    <row r="146" spans="2:13" x14ac:dyDescent="0.25">
      <c r="B146" s="194" t="s">
        <v>133</v>
      </c>
      <c r="C146" s="195">
        <v>3993</v>
      </c>
      <c r="D146" s="195">
        <v>195</v>
      </c>
      <c r="E146" s="195">
        <v>1077</v>
      </c>
      <c r="F146" s="195">
        <v>1773</v>
      </c>
      <c r="G146" s="195">
        <v>1728</v>
      </c>
      <c r="H146" s="195">
        <v>1361</v>
      </c>
      <c r="I146" s="212">
        <f t="shared" si="80"/>
        <v>-0.2123842592592593</v>
      </c>
      <c r="J146" s="196">
        <f t="shared" si="77"/>
        <v>5.9794871794871796</v>
      </c>
      <c r="K146" s="195">
        <f t="shared" si="78"/>
        <v>-367</v>
      </c>
      <c r="L146" s="195">
        <f t="shared" si="79"/>
        <v>1166</v>
      </c>
      <c r="M146" s="196">
        <f t="shared" si="76"/>
        <v>2.9812919004585845E-4</v>
      </c>
    </row>
    <row r="147" spans="2:13" x14ac:dyDescent="0.25">
      <c r="B147" s="199" t="s">
        <v>147</v>
      </c>
      <c r="C147" s="200">
        <f t="shared" ref="C147" si="81">C139-SUM(C140:C146)</f>
        <v>18000</v>
      </c>
      <c r="D147" s="200">
        <f t="shared" ref="D147:E147" si="82">D139-SUM(D140:D146)</f>
        <v>22790</v>
      </c>
      <c r="E147" s="200">
        <f t="shared" si="82"/>
        <v>54471</v>
      </c>
      <c r="F147" s="200">
        <f t="shared" ref="F147:H147" si="83">F139-SUM(F140:F146)</f>
        <v>58900</v>
      </c>
      <c r="G147" s="200">
        <f t="shared" si="83"/>
        <v>64138</v>
      </c>
      <c r="H147" s="200">
        <f t="shared" si="83"/>
        <v>62014</v>
      </c>
      <c r="I147" s="213">
        <f t="shared" si="80"/>
        <v>-3.3116093423555482E-2</v>
      </c>
      <c r="J147" s="201">
        <f t="shared" si="77"/>
        <v>1.7211057481351468</v>
      </c>
      <c r="K147" s="200">
        <f>H147-G147</f>
        <v>-2124</v>
      </c>
      <c r="L147" s="200">
        <f t="shared" si="79"/>
        <v>39224</v>
      </c>
      <c r="M147" s="201">
        <f t="shared" si="76"/>
        <v>1.3584264211244574E-2</v>
      </c>
    </row>
    <row r="148" spans="2:13" x14ac:dyDescent="0.25">
      <c r="B148" s="186" t="s">
        <v>55</v>
      </c>
      <c r="C148" s="184"/>
      <c r="D148" s="184"/>
      <c r="E148" s="184"/>
      <c r="F148" s="184"/>
      <c r="G148" s="184"/>
      <c r="H148" s="184"/>
      <c r="I148" s="185"/>
      <c r="J148" s="185"/>
      <c r="K148" s="185"/>
      <c r="L148" s="184"/>
      <c r="M148" s="184"/>
    </row>
    <row r="149" spans="2:13" x14ac:dyDescent="0.25">
      <c r="B149" s="187" t="s">
        <v>70</v>
      </c>
      <c r="C149" s="209">
        <v>34442</v>
      </c>
      <c r="D149" s="209">
        <v>52520</v>
      </c>
      <c r="E149" s="209">
        <v>91115</v>
      </c>
      <c r="F149" s="209">
        <v>101109</v>
      </c>
      <c r="G149" s="209">
        <v>106028</v>
      </c>
      <c r="H149" s="209">
        <v>106075</v>
      </c>
      <c r="I149" s="210">
        <f>IFERROR(H149/G149-1,"-")</f>
        <v>4.4327913381381201E-4</v>
      </c>
      <c r="J149" s="210">
        <f>IFERROR(H149/D149-1,"-")</f>
        <v>1.0197067783701446</v>
      </c>
      <c r="K149" s="209">
        <f>H149-G149</f>
        <v>47</v>
      </c>
      <c r="L149" s="209">
        <f>H149-D149</f>
        <v>53555</v>
      </c>
      <c r="M149" s="210">
        <f t="shared" ref="M149:M161" si="84">H149/H$9</f>
        <v>2.3235895543067181E-2</v>
      </c>
    </row>
    <row r="150" spans="2:13" x14ac:dyDescent="0.25">
      <c r="B150" s="190" t="s">
        <v>99</v>
      </c>
      <c r="C150" s="191">
        <v>16212</v>
      </c>
      <c r="D150" s="191">
        <v>32680</v>
      </c>
      <c r="E150" s="191">
        <v>49587</v>
      </c>
      <c r="F150" s="191">
        <v>52055</v>
      </c>
      <c r="G150" s="191">
        <v>48038</v>
      </c>
      <c r="H150" s="191">
        <v>47076</v>
      </c>
      <c r="I150" s="211">
        <f>IFERROR(H150/G150-1,"-")</f>
        <v>-2.002581289812233E-2</v>
      </c>
      <c r="J150" s="192">
        <f t="shared" ref="J150:J161" si="85">IFERROR(H150/D150-1,"-")</f>
        <v>0.44051407588739289</v>
      </c>
      <c r="K150" s="191">
        <f t="shared" ref="K150:K160" si="86">H150-G150</f>
        <v>-962</v>
      </c>
      <c r="L150" s="191">
        <f t="shared" ref="L150:L161" si="87">H150-D150</f>
        <v>14396</v>
      </c>
      <c r="M150" s="192">
        <f t="shared" si="84"/>
        <v>1.0312071822629561E-2</v>
      </c>
    </row>
    <row r="151" spans="2:13" x14ac:dyDescent="0.25">
      <c r="B151" s="194" t="s">
        <v>105</v>
      </c>
      <c r="C151" s="195">
        <v>9463</v>
      </c>
      <c r="D151" s="195">
        <v>26134</v>
      </c>
      <c r="E151" s="195">
        <v>35869</v>
      </c>
      <c r="F151" s="195">
        <v>38509</v>
      </c>
      <c r="G151" s="195">
        <v>32273</v>
      </c>
      <c r="H151" s="195">
        <v>29513</v>
      </c>
      <c r="I151" s="212">
        <f>IFERROR(H151/G151-1,"-")</f>
        <v>-8.5520404052923493E-2</v>
      </c>
      <c r="J151" s="196">
        <f t="shared" si="85"/>
        <v>0.12929517104155508</v>
      </c>
      <c r="K151" s="195">
        <f t="shared" si="86"/>
        <v>-2760</v>
      </c>
      <c r="L151" s="195">
        <f t="shared" si="87"/>
        <v>3379</v>
      </c>
      <c r="M151" s="196">
        <f t="shared" si="84"/>
        <v>6.4648690564463041E-3</v>
      </c>
    </row>
    <row r="152" spans="2:13" x14ac:dyDescent="0.25">
      <c r="B152" s="194" t="s">
        <v>102</v>
      </c>
      <c r="C152" s="195">
        <v>6749</v>
      </c>
      <c r="D152" s="195">
        <v>6546</v>
      </c>
      <c r="E152" s="195">
        <v>13718</v>
      </c>
      <c r="F152" s="195">
        <v>13546</v>
      </c>
      <c r="G152" s="195">
        <v>15765</v>
      </c>
      <c r="H152" s="195">
        <v>17563</v>
      </c>
      <c r="I152" s="212">
        <f>IFERROR(H152/G152-1,"-")</f>
        <v>0.11405011100539175</v>
      </c>
      <c r="J152" s="196">
        <f t="shared" si="85"/>
        <v>1.6830125267338834</v>
      </c>
      <c r="K152" s="195">
        <f t="shared" si="86"/>
        <v>1798</v>
      </c>
      <c r="L152" s="195">
        <f t="shared" si="87"/>
        <v>11017</v>
      </c>
      <c r="M152" s="196">
        <f t="shared" si="84"/>
        <v>3.8472027661832562E-3</v>
      </c>
    </row>
    <row r="153" spans="2:13" x14ac:dyDescent="0.25">
      <c r="B153" s="190" t="s">
        <v>109</v>
      </c>
      <c r="C153" s="191">
        <v>18230</v>
      </c>
      <c r="D153" s="191">
        <v>19840</v>
      </c>
      <c r="E153" s="191">
        <v>41528</v>
      </c>
      <c r="F153" s="191">
        <v>49054</v>
      </c>
      <c r="G153" s="191">
        <v>57990</v>
      </c>
      <c r="H153" s="191">
        <v>58999</v>
      </c>
      <c r="I153" s="211">
        <f>IFERROR(H153/G153-1,"-")</f>
        <v>1.7399551646835709E-2</v>
      </c>
      <c r="J153" s="192">
        <f t="shared" si="85"/>
        <v>1.9737399193548386</v>
      </c>
      <c r="K153" s="191">
        <f t="shared" si="86"/>
        <v>1009</v>
      </c>
      <c r="L153" s="191">
        <f t="shared" si="87"/>
        <v>39159</v>
      </c>
      <c r="M153" s="192">
        <f t="shared" si="84"/>
        <v>1.2923823720437622E-2</v>
      </c>
    </row>
    <row r="154" spans="2:13" x14ac:dyDescent="0.25">
      <c r="B154" s="194" t="s">
        <v>112</v>
      </c>
      <c r="C154" s="195">
        <v>5108</v>
      </c>
      <c r="D154" s="195">
        <v>2326</v>
      </c>
      <c r="E154" s="195">
        <v>14964</v>
      </c>
      <c r="F154" s="195">
        <v>14917</v>
      </c>
      <c r="G154" s="195">
        <v>16509</v>
      </c>
      <c r="H154" s="195">
        <v>14822</v>
      </c>
      <c r="I154" s="212">
        <f t="shared" ref="I154:I161" si="88">IFERROR(H154/G154-1,"-")</f>
        <v>-0.10218668605003334</v>
      </c>
      <c r="J154" s="196">
        <f t="shared" si="85"/>
        <v>5.3723129836629404</v>
      </c>
      <c r="K154" s="195">
        <f t="shared" si="86"/>
        <v>-1687</v>
      </c>
      <c r="L154" s="195">
        <f t="shared" si="87"/>
        <v>12496</v>
      </c>
      <c r="M154" s="196">
        <f t="shared" si="84"/>
        <v>3.2467824062158072E-3</v>
      </c>
    </row>
    <row r="155" spans="2:13" x14ac:dyDescent="0.25">
      <c r="B155" s="194" t="s">
        <v>115</v>
      </c>
      <c r="C155" s="195">
        <v>4515</v>
      </c>
      <c r="D155" s="195">
        <v>4643</v>
      </c>
      <c r="E155" s="195">
        <v>8567</v>
      </c>
      <c r="F155" s="195">
        <v>9517</v>
      </c>
      <c r="G155" s="195">
        <v>9914</v>
      </c>
      <c r="H155" s="195">
        <v>9919</v>
      </c>
      <c r="I155" s="212">
        <f t="shared" si="88"/>
        <v>5.043373007866947E-4</v>
      </c>
      <c r="J155" s="196">
        <f t="shared" si="85"/>
        <v>1.1363342666379497</v>
      </c>
      <c r="K155" s="195">
        <f t="shared" si="86"/>
        <v>5</v>
      </c>
      <c r="L155" s="195">
        <f t="shared" si="87"/>
        <v>5276</v>
      </c>
      <c r="M155" s="196">
        <f t="shared" si="84"/>
        <v>2.1727725467045335E-3</v>
      </c>
    </row>
    <row r="156" spans="2:13" x14ac:dyDescent="0.25">
      <c r="B156" s="194" t="s">
        <v>118</v>
      </c>
      <c r="C156" s="195">
        <v>2035</v>
      </c>
      <c r="D156" s="195">
        <v>4243</v>
      </c>
      <c r="E156" s="195">
        <v>5043</v>
      </c>
      <c r="F156" s="195">
        <v>8079</v>
      </c>
      <c r="G156" s="195">
        <v>10323</v>
      </c>
      <c r="H156" s="195">
        <v>14463</v>
      </c>
      <c r="I156" s="212">
        <f t="shared" si="88"/>
        <v>0.40104620749782049</v>
      </c>
      <c r="J156" s="196">
        <f t="shared" si="85"/>
        <v>2.4086731086495403</v>
      </c>
      <c r="K156" s="195">
        <f t="shared" si="86"/>
        <v>4140</v>
      </c>
      <c r="L156" s="195">
        <f t="shared" si="87"/>
        <v>10220</v>
      </c>
      <c r="M156" s="196">
        <f t="shared" si="84"/>
        <v>3.1681428917217126E-3</v>
      </c>
    </row>
    <row r="157" spans="2:13" x14ac:dyDescent="0.25">
      <c r="B157" s="194" t="s">
        <v>125</v>
      </c>
      <c r="C157" s="195">
        <v>561</v>
      </c>
      <c r="D157" s="195">
        <v>604</v>
      </c>
      <c r="E157" s="195">
        <v>1305</v>
      </c>
      <c r="F157" s="195">
        <v>1530</v>
      </c>
      <c r="G157" s="195">
        <v>2288</v>
      </c>
      <c r="H157" s="195">
        <v>2011</v>
      </c>
      <c r="I157" s="212">
        <f t="shared" si="88"/>
        <v>-0.12106643356643354</v>
      </c>
      <c r="J157" s="196">
        <f t="shared" si="85"/>
        <v>2.3294701986754967</v>
      </c>
      <c r="K157" s="195">
        <f t="shared" si="86"/>
        <v>-277</v>
      </c>
      <c r="L157" s="195">
        <f t="shared" si="87"/>
        <v>1407</v>
      </c>
      <c r="M157" s="196">
        <f t="shared" si="84"/>
        <v>4.4051271211037571E-4</v>
      </c>
    </row>
    <row r="158" spans="2:13" x14ac:dyDescent="0.25">
      <c r="B158" s="194" t="s">
        <v>121</v>
      </c>
      <c r="C158" s="195">
        <v>1130</v>
      </c>
      <c r="D158" s="195">
        <v>1231</v>
      </c>
      <c r="E158" s="195">
        <v>2560</v>
      </c>
      <c r="F158" s="195">
        <v>2571</v>
      </c>
      <c r="G158" s="195">
        <v>2957</v>
      </c>
      <c r="H158" s="195">
        <v>2204</v>
      </c>
      <c r="I158" s="212">
        <f t="shared" si="88"/>
        <v>-0.25464998309097053</v>
      </c>
      <c r="J158" s="196">
        <f t="shared" si="85"/>
        <v>0.79041429731925272</v>
      </c>
      <c r="K158" s="195">
        <f t="shared" si="86"/>
        <v>-753</v>
      </c>
      <c r="L158" s="195">
        <f t="shared" si="87"/>
        <v>973</v>
      </c>
      <c r="M158" s="196">
        <f t="shared" si="84"/>
        <v>4.82789665584917E-4</v>
      </c>
    </row>
    <row r="159" spans="2:13" x14ac:dyDescent="0.25">
      <c r="B159" s="194" t="s">
        <v>130</v>
      </c>
      <c r="C159" s="195">
        <v>340</v>
      </c>
      <c r="D159" s="195">
        <v>120</v>
      </c>
      <c r="E159" s="195">
        <v>325</v>
      </c>
      <c r="F159" s="195">
        <v>447</v>
      </c>
      <c r="G159" s="195">
        <v>322</v>
      </c>
      <c r="H159" s="195">
        <v>333</v>
      </c>
      <c r="I159" s="212">
        <f t="shared" si="88"/>
        <v>3.4161490683229712E-2</v>
      </c>
      <c r="J159" s="196">
        <f t="shared" si="85"/>
        <v>1.7749999999999999</v>
      </c>
      <c r="K159" s="195">
        <f t="shared" si="86"/>
        <v>11</v>
      </c>
      <c r="L159" s="195">
        <f t="shared" si="87"/>
        <v>213</v>
      </c>
      <c r="M159" s="196">
        <f t="shared" si="84"/>
        <v>7.2944173611514228E-5</v>
      </c>
    </row>
    <row r="160" spans="2:13" x14ac:dyDescent="0.25">
      <c r="B160" s="194" t="s">
        <v>133</v>
      </c>
      <c r="C160" s="195">
        <v>426</v>
      </c>
      <c r="D160" s="195">
        <v>138</v>
      </c>
      <c r="E160" s="195">
        <v>457</v>
      </c>
      <c r="F160" s="195">
        <v>624</v>
      </c>
      <c r="G160" s="195">
        <v>554</v>
      </c>
      <c r="H160" s="195">
        <v>431</v>
      </c>
      <c r="I160" s="212">
        <f t="shared" si="88"/>
        <v>-0.22202166064981954</v>
      </c>
      <c r="J160" s="196">
        <f t="shared" si="85"/>
        <v>2.1231884057971016</v>
      </c>
      <c r="K160" s="195">
        <f t="shared" si="86"/>
        <v>-123</v>
      </c>
      <c r="L160" s="195">
        <f t="shared" si="87"/>
        <v>293</v>
      </c>
      <c r="M160" s="196">
        <f t="shared" si="84"/>
        <v>9.4411227707395285E-5</v>
      </c>
    </row>
    <row r="161" spans="2:13" x14ac:dyDescent="0.25">
      <c r="B161" s="199" t="s">
        <v>147</v>
      </c>
      <c r="C161" s="200">
        <f t="shared" ref="C161" si="89">C153-SUM(C154:C160)</f>
        <v>4115</v>
      </c>
      <c r="D161" s="200">
        <f t="shared" ref="D161:E161" si="90">D153-SUM(D154:D160)</f>
        <v>6535</v>
      </c>
      <c r="E161" s="200">
        <f t="shared" si="90"/>
        <v>8307</v>
      </c>
      <c r="F161" s="200">
        <f t="shared" ref="F161:H161" si="91">F153-SUM(F154:F160)</f>
        <v>11369</v>
      </c>
      <c r="G161" s="200">
        <f t="shared" si="91"/>
        <v>15123</v>
      </c>
      <c r="H161" s="200">
        <f t="shared" si="91"/>
        <v>14816</v>
      </c>
      <c r="I161" s="213">
        <f t="shared" si="88"/>
        <v>-2.0300204985783221E-2</v>
      </c>
      <c r="J161" s="201">
        <f t="shared" si="85"/>
        <v>1.2671767406273911</v>
      </c>
      <c r="K161" s="200">
        <f>H161-G161</f>
        <v>-307</v>
      </c>
      <c r="L161" s="200">
        <f t="shared" si="87"/>
        <v>8281</v>
      </c>
      <c r="M161" s="201">
        <f t="shared" si="84"/>
        <v>3.2454680967813655E-3</v>
      </c>
    </row>
    <row r="162" spans="2:13" x14ac:dyDescent="0.25">
      <c r="C162" s="103"/>
      <c r="D162" s="103"/>
      <c r="E162" s="103"/>
      <c r="F162" s="103"/>
      <c r="G162" s="103"/>
      <c r="H162" s="103"/>
      <c r="I162" s="103"/>
    </row>
    <row r="163" spans="2:13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</row>
  </sheetData>
  <mergeCells count="3">
    <mergeCell ref="B4:J4"/>
    <mergeCell ref="C6:M6"/>
    <mergeCell ref="Q6:Y6"/>
  </mergeCells>
  <pageMargins left="0.25" right="0.25" top="0.75" bottom="0.75" header="0.3" footer="0.3"/>
  <pageSetup paperSize="9" scale="8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C9E27-F25C-4831-A899-0F954957A9EC}">
  <sheetPr>
    <tabColor theme="7" tint="0.79998168889431442"/>
    <pageSetUpPr fitToPage="1"/>
  </sheetPr>
  <dimension ref="A1:W163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  <col min="24" max="24" width="0" hidden="1" customWidth="1"/>
  </cols>
  <sheetData>
    <row r="1" spans="1:23" ht="42.75" customHeight="1" x14ac:dyDescent="0.25"/>
    <row r="4" spans="1:23" ht="42" customHeight="1" thickBot="1" x14ac:dyDescent="0.3">
      <c r="B4" s="12" t="str">
        <f>CONCATENATE("Viajeros entrados en los hoteles de Tenerife según lugar de residencia y municipio de alojamiento")</f>
        <v>Viajeros entrados en los hoteles de Tenerife según lugar de residencia y municipio de alojamiento</v>
      </c>
      <c r="C4" s="12"/>
      <c r="D4" s="12"/>
      <c r="E4" s="12"/>
      <c r="F4" s="12"/>
      <c r="G4" s="12"/>
      <c r="H4" s="12"/>
      <c r="I4" s="12"/>
      <c r="J4" s="173"/>
      <c r="K4" s="173"/>
      <c r="N4" s="172" t="s">
        <v>271</v>
      </c>
      <c r="O4" s="173"/>
      <c r="P4" s="173"/>
      <c r="Q4" s="173"/>
      <c r="R4" s="173"/>
      <c r="S4" s="173"/>
      <c r="T4" s="173"/>
      <c r="U4" s="173"/>
      <c r="V4" s="173"/>
      <c r="W4" s="173"/>
    </row>
    <row r="5" spans="1:23" ht="6" customHeight="1" x14ac:dyDescent="0.25"/>
    <row r="6" spans="1:23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N6" s="174"/>
      <c r="O6" s="203" t="s">
        <v>45</v>
      </c>
      <c r="P6" s="204"/>
      <c r="Q6" s="204"/>
      <c r="R6" s="204"/>
      <c r="S6" s="204"/>
      <c r="T6" s="204"/>
      <c r="U6" s="204"/>
      <c r="V6" s="204"/>
      <c r="W6" s="204"/>
    </row>
    <row r="7" spans="1:23" s="177" customFormat="1" ht="72" customHeight="1" x14ac:dyDescent="0.25">
      <c r="B7" s="178"/>
      <c r="C7" s="205" t="s">
        <v>265</v>
      </c>
      <c r="D7" s="205" t="s">
        <v>266</v>
      </c>
      <c r="E7" s="205" t="s">
        <v>267</v>
      </c>
      <c r="F7" s="205" t="s">
        <v>268</v>
      </c>
      <c r="G7" s="205" t="s">
        <v>269</v>
      </c>
      <c r="H7" s="205" t="s">
        <v>270</v>
      </c>
      <c r="I7" s="206" t="str">
        <f>CONCATENATE("var. ",RIGHT(H7,2),"/",RIGHT(G7,2))</f>
        <v>var. 25/24</v>
      </c>
      <c r="J7" s="205" t="str">
        <f>CONCATENATE("dif. ",RIGHT(H7,2),"/",RIGHT(G7,2))</f>
        <v>dif. 25/24</v>
      </c>
      <c r="K7" s="206" t="str">
        <f>CONCATENATE("Cuota s/ total lugares de residencia ",RIGHT(H7,4))</f>
        <v>Cuota s/ total lugares de residencia 2025</v>
      </c>
      <c r="N7" s="178"/>
      <c r="O7" s="205" t="s">
        <v>265</v>
      </c>
      <c r="P7" s="205" t="s">
        <v>266</v>
      </c>
      <c r="Q7" s="205" t="s">
        <v>267</v>
      </c>
      <c r="R7" s="205" t="s">
        <v>268</v>
      </c>
      <c r="S7" s="205" t="s">
        <v>269</v>
      </c>
      <c r="T7" s="205" t="s">
        <v>270</v>
      </c>
      <c r="U7" s="206" t="str">
        <f>CONCATENATE("var. ",RIGHT(T7,2),"/",RIGHT(S7,2))</f>
        <v>var. 25/24</v>
      </c>
      <c r="V7" s="205" t="str">
        <f>CONCATENATE("dif. ",RIGHT(T7,2),"/",RIGHT(S7,2))</f>
        <v>dif. 25/24</v>
      </c>
      <c r="W7" s="206" t="str">
        <f>CONCATENATE("Cuota s/ total lugares de residencia ",RIGHT(T7,4))</f>
        <v>Cuota s/ total lugares de residencia 2025</v>
      </c>
    </row>
    <row r="8" spans="1:23" x14ac:dyDescent="0.25">
      <c r="A8" s="1"/>
      <c r="B8" s="183" t="s">
        <v>45</v>
      </c>
      <c r="C8" s="184"/>
      <c r="D8" s="184"/>
      <c r="E8" s="184"/>
      <c r="F8" s="184"/>
      <c r="G8" s="184"/>
      <c r="H8" s="185"/>
      <c r="I8" s="185"/>
      <c r="J8" s="185"/>
      <c r="K8" s="184"/>
      <c r="N8" s="186" t="s">
        <v>51</v>
      </c>
      <c r="O8" s="184"/>
      <c r="P8" s="184"/>
      <c r="Q8" s="184"/>
      <c r="R8" s="184"/>
      <c r="S8" s="184"/>
      <c r="T8" s="185"/>
      <c r="U8" s="185"/>
      <c r="V8" s="185"/>
      <c r="W8" s="184"/>
    </row>
    <row r="9" spans="1:23" x14ac:dyDescent="0.25">
      <c r="A9" s="1" t="s">
        <v>98</v>
      </c>
      <c r="B9" s="187" t="s">
        <v>70</v>
      </c>
      <c r="C9" s="209">
        <f t="shared" ref="C9:H9" si="0">C10+C13</f>
        <v>1075029</v>
      </c>
      <c r="D9" s="209">
        <f t="shared" si="0"/>
        <v>1335956</v>
      </c>
      <c r="E9" s="209">
        <f t="shared" si="0"/>
        <v>3116022</v>
      </c>
      <c r="F9" s="209">
        <f t="shared" si="0"/>
        <v>3408188</v>
      </c>
      <c r="G9" s="209">
        <f t="shared" si="0"/>
        <v>3585143</v>
      </c>
      <c r="H9" s="209">
        <f t="shared" si="0"/>
        <v>3509018</v>
      </c>
      <c r="I9" s="210">
        <f>IFERROR(H9/G9-1,"-")</f>
        <v>-2.123346265406989E-2</v>
      </c>
      <c r="J9" s="209">
        <f t="shared" ref="J9:J21" si="1">H9-G9</f>
        <v>-76125</v>
      </c>
      <c r="K9" s="210">
        <f t="shared" ref="K9:K21" si="2">H9/H$9</f>
        <v>1</v>
      </c>
      <c r="N9" s="187" t="s">
        <v>70</v>
      </c>
      <c r="O9" s="209">
        <f t="shared" ref="O9:T9" si="3">O10+O13</f>
        <v>19059</v>
      </c>
      <c r="P9" s="209">
        <f t="shared" si="3"/>
        <v>24453</v>
      </c>
      <c r="Q9" s="209">
        <f t="shared" si="3"/>
        <v>41481</v>
      </c>
      <c r="R9" s="209">
        <f t="shared" si="3"/>
        <v>48608</v>
      </c>
      <c r="S9" s="209">
        <f t="shared" si="3"/>
        <v>46696</v>
      </c>
      <c r="T9" s="209">
        <f t="shared" si="3"/>
        <v>46403</v>
      </c>
      <c r="U9" s="210">
        <f>IFERROR(T9/S9-1,"-")</f>
        <v>-6.2746273770772909E-3</v>
      </c>
      <c r="V9" s="209">
        <f>T9-S9</f>
        <v>-293</v>
      </c>
      <c r="W9" s="210">
        <f t="shared" ref="W9:W21" si="4">T9/T$9</f>
        <v>1</v>
      </c>
    </row>
    <row r="10" spans="1:23" x14ac:dyDescent="0.25">
      <c r="A10" s="193" t="s">
        <v>105</v>
      </c>
      <c r="B10" s="190" t="s">
        <v>99</v>
      </c>
      <c r="C10" s="191">
        <v>333970</v>
      </c>
      <c r="D10" s="191">
        <v>567343</v>
      </c>
      <c r="E10" s="191">
        <v>743562</v>
      </c>
      <c r="F10" s="191">
        <v>769598</v>
      </c>
      <c r="G10" s="191">
        <v>767914</v>
      </c>
      <c r="H10" s="191">
        <v>766537</v>
      </c>
      <c r="I10" s="211">
        <f>IFERROR(H10/G10-1,"-")</f>
        <v>-1.7931695476316456E-3</v>
      </c>
      <c r="J10" s="190">
        <f t="shared" si="1"/>
        <v>-1377</v>
      </c>
      <c r="K10" s="192">
        <f t="shared" si="2"/>
        <v>0.21844772526102743</v>
      </c>
      <c r="N10" s="190" t="s">
        <v>99</v>
      </c>
      <c r="O10" s="191">
        <v>12382</v>
      </c>
      <c r="P10" s="191">
        <v>16085</v>
      </c>
      <c r="Q10" s="191">
        <v>27294</v>
      </c>
      <c r="R10" s="191">
        <v>32685</v>
      </c>
      <c r="S10" s="191">
        <v>29315</v>
      </c>
      <c r="T10" s="191">
        <v>29490</v>
      </c>
      <c r="U10" s="211">
        <f>IFERROR(T10/S10-1,"-")</f>
        <v>5.969640115981667E-3</v>
      </c>
      <c r="V10" s="190">
        <f t="shared" ref="V10:V20" si="5">T10-S10</f>
        <v>175</v>
      </c>
      <c r="W10" s="192">
        <f t="shared" si="4"/>
        <v>0.63551925522056762</v>
      </c>
    </row>
    <row r="11" spans="1:23" x14ac:dyDescent="0.25">
      <c r="A11" s="193" t="s">
        <v>102</v>
      </c>
      <c r="B11" s="194" t="s">
        <v>105</v>
      </c>
      <c r="C11" s="195">
        <v>127521</v>
      </c>
      <c r="D11" s="195">
        <v>281358</v>
      </c>
      <c r="E11" s="195">
        <v>291583</v>
      </c>
      <c r="F11" s="195">
        <v>299896</v>
      </c>
      <c r="G11" s="195">
        <v>296650</v>
      </c>
      <c r="H11" s="195">
        <v>297879</v>
      </c>
      <c r="I11" s="212">
        <f>IFERROR(H11/G11-1,"-")</f>
        <v>4.1429293780550491E-3</v>
      </c>
      <c r="J11" s="194">
        <f t="shared" si="1"/>
        <v>1229</v>
      </c>
      <c r="K11" s="196">
        <f t="shared" si="2"/>
        <v>8.4889561695038321E-2</v>
      </c>
      <c r="N11" s="194" t="s">
        <v>105</v>
      </c>
      <c r="O11" s="195">
        <v>6489</v>
      </c>
      <c r="P11" s="195">
        <v>8211</v>
      </c>
      <c r="Q11" s="195">
        <v>12915</v>
      </c>
      <c r="R11" s="195">
        <v>10196</v>
      </c>
      <c r="S11" s="195">
        <v>9167</v>
      </c>
      <c r="T11" s="195">
        <v>10910</v>
      </c>
      <c r="U11" s="212">
        <f>IFERROR(T11/S11-1,"-")</f>
        <v>0.19013854041671219</v>
      </c>
      <c r="V11" s="194">
        <f t="shared" si="5"/>
        <v>1743</v>
      </c>
      <c r="W11" s="196">
        <f>T11/T$9</f>
        <v>0.23511410900157317</v>
      </c>
    </row>
    <row r="12" spans="1:23" x14ac:dyDescent="0.25">
      <c r="A12" s="1"/>
      <c r="B12" s="194" t="s">
        <v>102</v>
      </c>
      <c r="C12" s="195">
        <v>206449</v>
      </c>
      <c r="D12" s="195">
        <v>285985</v>
      </c>
      <c r="E12" s="195">
        <v>451979</v>
      </c>
      <c r="F12" s="195">
        <v>469702</v>
      </c>
      <c r="G12" s="195">
        <v>471264</v>
      </c>
      <c r="H12" s="195">
        <v>468658</v>
      </c>
      <c r="I12" s="212">
        <f>IFERROR(H12/G12-1,"-")</f>
        <v>-5.5298091939973704E-3</v>
      </c>
      <c r="J12" s="194">
        <f t="shared" si="1"/>
        <v>-2606</v>
      </c>
      <c r="K12" s="196">
        <f t="shared" si="2"/>
        <v>0.13355816356598912</v>
      </c>
      <c r="N12" s="194" t="s">
        <v>102</v>
      </c>
      <c r="O12" s="195">
        <v>5893</v>
      </c>
      <c r="P12" s="195">
        <v>7874</v>
      </c>
      <c r="Q12" s="195">
        <v>14379</v>
      </c>
      <c r="R12" s="195">
        <v>22489</v>
      </c>
      <c r="S12" s="195">
        <v>20148</v>
      </c>
      <c r="T12" s="195">
        <v>18580</v>
      </c>
      <c r="U12" s="212">
        <f>IFERROR(T12/S12-1,"-")</f>
        <v>-7.7824101647806287E-2</v>
      </c>
      <c r="V12" s="194">
        <f t="shared" si="5"/>
        <v>-1568</v>
      </c>
      <c r="W12" s="196">
        <f t="shared" si="4"/>
        <v>0.40040514621899448</v>
      </c>
    </row>
    <row r="13" spans="1:23" s="74" customFormat="1" x14ac:dyDescent="0.25">
      <c r="B13" s="190" t="s">
        <v>109</v>
      </c>
      <c r="C13" s="191">
        <v>741059</v>
      </c>
      <c r="D13" s="191">
        <v>768613</v>
      </c>
      <c r="E13" s="191">
        <v>2372460</v>
      </c>
      <c r="F13" s="191">
        <v>2638590</v>
      </c>
      <c r="G13" s="191">
        <v>2817229</v>
      </c>
      <c r="H13" s="191">
        <v>2742481</v>
      </c>
      <c r="I13" s="211">
        <f>IFERROR(H13/G13-1,"-")</f>
        <v>-2.6532454408214612E-2</v>
      </c>
      <c r="J13" s="190">
        <f t="shared" si="1"/>
        <v>-74748</v>
      </c>
      <c r="K13" s="192">
        <f t="shared" si="2"/>
        <v>0.7815522747389726</v>
      </c>
      <c r="N13" s="190" t="s">
        <v>109</v>
      </c>
      <c r="O13" s="191">
        <v>6677</v>
      </c>
      <c r="P13" s="191">
        <v>8368</v>
      </c>
      <c r="Q13" s="191">
        <v>14187</v>
      </c>
      <c r="R13" s="191">
        <v>15923</v>
      </c>
      <c r="S13" s="191">
        <v>17381</v>
      </c>
      <c r="T13" s="191">
        <v>16913</v>
      </c>
      <c r="U13" s="211">
        <f>IFERROR(T13/S13-1,"-")</f>
        <v>-2.6925953627524257E-2</v>
      </c>
      <c r="V13" s="190">
        <f t="shared" si="5"/>
        <v>-468</v>
      </c>
      <c r="W13" s="192">
        <f t="shared" si="4"/>
        <v>0.36448074477943238</v>
      </c>
    </row>
    <row r="14" spans="1:23" s="74" customFormat="1" x14ac:dyDescent="0.25">
      <c r="B14" s="194" t="s">
        <v>112</v>
      </c>
      <c r="C14" s="195">
        <v>277618</v>
      </c>
      <c r="D14" s="195">
        <v>197547</v>
      </c>
      <c r="E14" s="195">
        <v>1099359</v>
      </c>
      <c r="F14" s="195">
        <v>1222793</v>
      </c>
      <c r="G14" s="195">
        <v>1292045</v>
      </c>
      <c r="H14" s="195">
        <v>1266830</v>
      </c>
      <c r="I14" s="212">
        <f t="shared" ref="I14:I21" si="6">IFERROR(H14/G14-1,"-")</f>
        <v>-1.9515574147959236E-2</v>
      </c>
      <c r="J14" s="194">
        <f t="shared" si="1"/>
        <v>-25215</v>
      </c>
      <c r="K14" s="196">
        <f t="shared" si="2"/>
        <v>0.36102123158102922</v>
      </c>
      <c r="N14" s="194" t="s">
        <v>112</v>
      </c>
      <c r="O14" s="195">
        <v>1092</v>
      </c>
      <c r="P14" s="195">
        <v>509</v>
      </c>
      <c r="Q14" s="195">
        <v>1836</v>
      </c>
      <c r="R14" s="195">
        <v>2198</v>
      </c>
      <c r="S14" s="195">
        <v>2450</v>
      </c>
      <c r="T14" s="195">
        <v>2046</v>
      </c>
      <c r="U14" s="212">
        <f t="shared" ref="U14:U21" si="7">IFERROR(T14/S14-1,"-")</f>
        <v>-0.16489795918367345</v>
      </c>
      <c r="V14" s="194">
        <f t="shared" si="5"/>
        <v>-404</v>
      </c>
      <c r="W14" s="196">
        <f t="shared" si="4"/>
        <v>4.4091976811844062E-2</v>
      </c>
    </row>
    <row r="15" spans="1:23" x14ac:dyDescent="0.25">
      <c r="A15" s="1"/>
      <c r="B15" s="194" t="s">
        <v>115</v>
      </c>
      <c r="C15" s="195">
        <v>104762</v>
      </c>
      <c r="D15" s="195">
        <v>124987</v>
      </c>
      <c r="E15" s="195">
        <v>264032</v>
      </c>
      <c r="F15" s="195">
        <v>302210</v>
      </c>
      <c r="G15" s="195">
        <v>312157</v>
      </c>
      <c r="H15" s="195">
        <v>303418</v>
      </c>
      <c r="I15" s="212">
        <f t="shared" si="6"/>
        <v>-2.7995527891413574E-2</v>
      </c>
      <c r="J15" s="194">
        <f t="shared" si="1"/>
        <v>-8739</v>
      </c>
      <c r="K15" s="196">
        <f t="shared" si="2"/>
        <v>8.6468065994531801E-2</v>
      </c>
      <c r="N15" s="194" t="s">
        <v>115</v>
      </c>
      <c r="O15" s="195">
        <v>1239</v>
      </c>
      <c r="P15" s="195">
        <v>1578</v>
      </c>
      <c r="Q15" s="195">
        <v>2714</v>
      </c>
      <c r="R15" s="195">
        <v>2893</v>
      </c>
      <c r="S15" s="195">
        <v>3315</v>
      </c>
      <c r="T15" s="195">
        <v>3003</v>
      </c>
      <c r="U15" s="212">
        <f t="shared" si="7"/>
        <v>-9.4117647058823528E-2</v>
      </c>
      <c r="V15" s="194">
        <f t="shared" si="5"/>
        <v>-312</v>
      </c>
      <c r="W15" s="196">
        <f t="shared" si="4"/>
        <v>6.4715643385125962E-2</v>
      </c>
    </row>
    <row r="16" spans="1:23" x14ac:dyDescent="0.25">
      <c r="A16" s="1"/>
      <c r="B16" s="194" t="s">
        <v>118</v>
      </c>
      <c r="C16" s="195">
        <v>44136</v>
      </c>
      <c r="D16" s="195">
        <v>79602</v>
      </c>
      <c r="E16" s="195">
        <v>138916</v>
      </c>
      <c r="F16" s="195">
        <v>152119</v>
      </c>
      <c r="G16" s="195">
        <v>166406</v>
      </c>
      <c r="H16" s="195">
        <v>156481</v>
      </c>
      <c r="I16" s="212">
        <f t="shared" si="6"/>
        <v>-5.9643282093193806E-2</v>
      </c>
      <c r="J16" s="194">
        <f t="shared" si="1"/>
        <v>-9925</v>
      </c>
      <c r="K16" s="196">
        <f t="shared" si="2"/>
        <v>4.4593957625751704E-2</v>
      </c>
      <c r="N16" s="194" t="s">
        <v>118</v>
      </c>
      <c r="O16" s="195">
        <v>1648</v>
      </c>
      <c r="P16" s="195">
        <v>2867</v>
      </c>
      <c r="Q16" s="195">
        <v>2766</v>
      </c>
      <c r="R16" s="195">
        <v>3129</v>
      </c>
      <c r="S16" s="195">
        <v>3038</v>
      </c>
      <c r="T16" s="195">
        <v>3024</v>
      </c>
      <c r="U16" s="212">
        <f t="shared" si="7"/>
        <v>-4.6082949308755561E-3</v>
      </c>
      <c r="V16" s="194">
        <f t="shared" si="5"/>
        <v>-14</v>
      </c>
      <c r="W16" s="196">
        <f t="shared" si="4"/>
        <v>6.5168200331875092E-2</v>
      </c>
    </row>
    <row r="17" spans="1:23" x14ac:dyDescent="0.25">
      <c r="A17" s="1"/>
      <c r="B17" s="194" t="s">
        <v>125</v>
      </c>
      <c r="C17" s="195">
        <v>25581</v>
      </c>
      <c r="D17" s="195">
        <v>45324</v>
      </c>
      <c r="E17" s="195">
        <v>105135</v>
      </c>
      <c r="F17" s="195">
        <v>98401</v>
      </c>
      <c r="G17" s="195">
        <v>107519</v>
      </c>
      <c r="H17" s="195">
        <v>99351</v>
      </c>
      <c r="I17" s="212">
        <f t="shared" si="6"/>
        <v>-7.5967968452087531E-2</v>
      </c>
      <c r="J17" s="194">
        <f t="shared" si="1"/>
        <v>-8168</v>
      </c>
      <c r="K17" s="196">
        <f t="shared" si="2"/>
        <v>2.8313049405845166E-2</v>
      </c>
      <c r="N17" s="194" t="s">
        <v>125</v>
      </c>
      <c r="O17" s="195">
        <v>284</v>
      </c>
      <c r="P17" s="195">
        <v>208</v>
      </c>
      <c r="Q17" s="195">
        <v>958</v>
      </c>
      <c r="R17" s="195">
        <v>711</v>
      </c>
      <c r="S17" s="195">
        <v>780</v>
      </c>
      <c r="T17" s="195">
        <v>720</v>
      </c>
      <c r="U17" s="212">
        <f t="shared" si="7"/>
        <v>-7.6923076923076872E-2</v>
      </c>
      <c r="V17" s="194">
        <f t="shared" si="5"/>
        <v>-60</v>
      </c>
      <c r="W17" s="196">
        <f t="shared" si="4"/>
        <v>1.5516238174255974E-2</v>
      </c>
    </row>
    <row r="18" spans="1:23" x14ac:dyDescent="0.25">
      <c r="A18" s="1"/>
      <c r="B18" s="194" t="s">
        <v>121</v>
      </c>
      <c r="C18" s="195">
        <v>45154</v>
      </c>
      <c r="D18" s="195">
        <v>55095</v>
      </c>
      <c r="E18" s="195">
        <v>107508</v>
      </c>
      <c r="F18" s="195">
        <v>110571</v>
      </c>
      <c r="G18" s="195">
        <v>115704</v>
      </c>
      <c r="H18" s="195">
        <v>106311</v>
      </c>
      <c r="I18" s="212">
        <f t="shared" si="6"/>
        <v>-8.1181290188757527E-2</v>
      </c>
      <c r="J18" s="194">
        <f t="shared" si="1"/>
        <v>-9393</v>
      </c>
      <c r="K18" s="196">
        <f t="shared" si="2"/>
        <v>3.0296510305732258E-2</v>
      </c>
      <c r="N18" s="194" t="s">
        <v>121</v>
      </c>
      <c r="O18" s="195">
        <v>256</v>
      </c>
      <c r="P18" s="195">
        <v>334</v>
      </c>
      <c r="Q18" s="195">
        <v>560</v>
      </c>
      <c r="R18" s="195">
        <v>466</v>
      </c>
      <c r="S18" s="195">
        <v>696</v>
      </c>
      <c r="T18" s="195">
        <v>670</v>
      </c>
      <c r="U18" s="212">
        <f t="shared" si="7"/>
        <v>-3.7356321839080442E-2</v>
      </c>
      <c r="V18" s="194">
        <f t="shared" si="5"/>
        <v>-26</v>
      </c>
      <c r="W18" s="196">
        <f t="shared" si="4"/>
        <v>1.4438721634377087E-2</v>
      </c>
    </row>
    <row r="19" spans="1:23" x14ac:dyDescent="0.25">
      <c r="A19" s="193" t="s">
        <v>146</v>
      </c>
      <c r="B19" s="194" t="s">
        <v>130</v>
      </c>
      <c r="C19" s="195">
        <v>18138</v>
      </c>
      <c r="D19" s="195">
        <v>5121</v>
      </c>
      <c r="E19" s="195">
        <v>28971</v>
      </c>
      <c r="F19" s="195">
        <v>34286</v>
      </c>
      <c r="G19" s="195">
        <v>31543</v>
      </c>
      <c r="H19" s="195">
        <v>29986</v>
      </c>
      <c r="I19" s="212">
        <f t="shared" si="6"/>
        <v>-4.9361189487366453E-2</v>
      </c>
      <c r="J19" s="194">
        <f t="shared" si="1"/>
        <v>-1557</v>
      </c>
      <c r="K19" s="196">
        <f t="shared" si="2"/>
        <v>8.5454107103468836E-3</v>
      </c>
      <c r="N19" s="194" t="s">
        <v>130</v>
      </c>
      <c r="O19" s="195">
        <v>114</v>
      </c>
      <c r="P19" s="195">
        <v>51</v>
      </c>
      <c r="Q19" s="195">
        <v>236</v>
      </c>
      <c r="R19" s="195">
        <v>112</v>
      </c>
      <c r="S19" s="195">
        <v>188</v>
      </c>
      <c r="T19" s="195">
        <v>161</v>
      </c>
      <c r="U19" s="212">
        <f t="shared" si="7"/>
        <v>-0.1436170212765957</v>
      </c>
      <c r="V19" s="194">
        <f t="shared" si="5"/>
        <v>-27</v>
      </c>
      <c r="W19" s="196">
        <f t="shared" si="4"/>
        <v>3.4696032584100164E-3</v>
      </c>
    </row>
    <row r="20" spans="1:23" x14ac:dyDescent="0.25">
      <c r="A20" s="198" t="s">
        <v>147</v>
      </c>
      <c r="B20" s="194" t="s">
        <v>133</v>
      </c>
      <c r="C20" s="195">
        <v>24693</v>
      </c>
      <c r="D20" s="195">
        <v>3815</v>
      </c>
      <c r="E20" s="195">
        <v>20777</v>
      </c>
      <c r="F20" s="195">
        <v>30679</v>
      </c>
      <c r="G20" s="195">
        <v>28530</v>
      </c>
      <c r="H20" s="195">
        <v>24141</v>
      </c>
      <c r="I20" s="212">
        <f t="shared" si="6"/>
        <v>-0.15383806519453203</v>
      </c>
      <c r="J20" s="194">
        <f t="shared" si="1"/>
        <v>-4389</v>
      </c>
      <c r="K20" s="196">
        <f t="shared" si="2"/>
        <v>6.8797025264618191E-3</v>
      </c>
      <c r="N20" s="194" t="s">
        <v>133</v>
      </c>
      <c r="O20" s="195">
        <v>70</v>
      </c>
      <c r="P20" s="195">
        <v>67</v>
      </c>
      <c r="Q20" s="195">
        <v>125</v>
      </c>
      <c r="R20" s="195">
        <v>206</v>
      </c>
      <c r="S20" s="195">
        <v>308</v>
      </c>
      <c r="T20" s="195">
        <v>177</v>
      </c>
      <c r="U20" s="212">
        <f t="shared" si="7"/>
        <v>-0.42532467532467533</v>
      </c>
      <c r="V20" s="194">
        <f t="shared" si="5"/>
        <v>-131</v>
      </c>
      <c r="W20" s="196">
        <f t="shared" si="4"/>
        <v>3.8144085511712606E-3</v>
      </c>
    </row>
    <row r="21" spans="1:23" x14ac:dyDescent="0.25">
      <c r="B21" s="199" t="s">
        <v>147</v>
      </c>
      <c r="C21" s="200">
        <f t="shared" ref="C21" si="8">C13-SUM(C14:C20)</f>
        <v>200977</v>
      </c>
      <c r="D21" s="200">
        <f t="shared" ref="D21:H21" si="9">D13-SUM(D14:D20)</f>
        <v>257122</v>
      </c>
      <c r="E21" s="200">
        <f t="shared" si="9"/>
        <v>607762</v>
      </c>
      <c r="F21" s="200">
        <f t="shared" si="9"/>
        <v>687531</v>
      </c>
      <c r="G21" s="200">
        <f t="shared" si="9"/>
        <v>763325</v>
      </c>
      <c r="H21" s="200">
        <f t="shared" si="9"/>
        <v>755963</v>
      </c>
      <c r="I21" s="213">
        <f t="shared" si="6"/>
        <v>-9.6446467756198251E-3</v>
      </c>
      <c r="J21" s="199">
        <f t="shared" si="1"/>
        <v>-7362</v>
      </c>
      <c r="K21" s="201">
        <f t="shared" si="2"/>
        <v>0.21543434658927368</v>
      </c>
      <c r="N21" s="199" t="s">
        <v>147</v>
      </c>
      <c r="O21" s="200">
        <f t="shared" ref="O21:T21" si="10">O13-SUM(O14:O20)</f>
        <v>1974</v>
      </c>
      <c r="P21" s="200">
        <f t="shared" si="10"/>
        <v>2754</v>
      </c>
      <c r="Q21" s="200">
        <f t="shared" si="10"/>
        <v>4992</v>
      </c>
      <c r="R21" s="200">
        <f t="shared" si="10"/>
        <v>6208</v>
      </c>
      <c r="S21" s="200">
        <f t="shared" si="10"/>
        <v>6606</v>
      </c>
      <c r="T21" s="200">
        <f t="shared" si="10"/>
        <v>7112</v>
      </c>
      <c r="U21" s="213">
        <f t="shared" si="7"/>
        <v>7.6597033000302739E-2</v>
      </c>
      <c r="V21" s="199">
        <f>T21-S21</f>
        <v>506</v>
      </c>
      <c r="W21" s="201">
        <f t="shared" si="4"/>
        <v>0.15326595263237291</v>
      </c>
    </row>
    <row r="22" spans="1:23" x14ac:dyDescent="0.25">
      <c r="B22" s="186" t="s">
        <v>46</v>
      </c>
      <c r="C22" s="184"/>
      <c r="D22" s="184"/>
      <c r="E22" s="184"/>
      <c r="F22" s="184"/>
      <c r="G22" s="184"/>
      <c r="H22" s="184"/>
      <c r="I22" s="185"/>
      <c r="J22" s="185"/>
      <c r="K22" s="184"/>
    </row>
    <row r="23" spans="1:23" x14ac:dyDescent="0.25">
      <c r="B23" s="187" t="s">
        <v>70</v>
      </c>
      <c r="C23" s="209">
        <f t="shared" ref="C23:H23" si="11">C24+C27</f>
        <v>375814</v>
      </c>
      <c r="D23" s="209">
        <f t="shared" si="11"/>
        <v>547654</v>
      </c>
      <c r="E23" s="209">
        <f t="shared" si="11"/>
        <v>1242545</v>
      </c>
      <c r="F23" s="209">
        <f t="shared" si="11"/>
        <v>1288547</v>
      </c>
      <c r="G23" s="209">
        <f t="shared" si="11"/>
        <v>1320475</v>
      </c>
      <c r="H23" s="209">
        <f t="shared" si="11"/>
        <v>1231678</v>
      </c>
      <c r="I23" s="210">
        <f>IFERROR(H23/G23-1,"-")</f>
        <v>-6.7246256082091671E-2</v>
      </c>
      <c r="J23" s="209">
        <f>H23-G23</f>
        <v>-88797</v>
      </c>
      <c r="K23" s="210">
        <f t="shared" ref="K23:K35" si="12">H23/H$9</f>
        <v>0.35100361411654202</v>
      </c>
    </row>
    <row r="24" spans="1:23" x14ac:dyDescent="0.25">
      <c r="B24" s="190" t="s">
        <v>99</v>
      </c>
      <c r="C24" s="191">
        <v>74004</v>
      </c>
      <c r="D24" s="191">
        <v>186632</v>
      </c>
      <c r="E24" s="191">
        <v>154516</v>
      </c>
      <c r="F24" s="191">
        <v>127253</v>
      </c>
      <c r="G24" s="191">
        <v>113009</v>
      </c>
      <c r="H24" s="191">
        <v>98046</v>
      </c>
      <c r="I24" s="211">
        <f>IFERROR(H24/G24-1,"-")</f>
        <v>-0.13240538364201082</v>
      </c>
      <c r="J24" s="190">
        <f t="shared" ref="J24:J34" si="13">H24-G24</f>
        <v>-14963</v>
      </c>
      <c r="K24" s="192">
        <f t="shared" si="12"/>
        <v>2.7941150487116338E-2</v>
      </c>
    </row>
    <row r="25" spans="1:23" x14ac:dyDescent="0.25">
      <c r="B25" s="194" t="s">
        <v>105</v>
      </c>
      <c r="C25" s="195">
        <v>37421</v>
      </c>
      <c r="D25" s="195">
        <v>89266</v>
      </c>
      <c r="E25" s="195">
        <v>61778</v>
      </c>
      <c r="F25" s="195">
        <v>50205</v>
      </c>
      <c r="G25" s="195">
        <v>39596</v>
      </c>
      <c r="H25" s="195">
        <v>45144</v>
      </c>
      <c r="I25" s="212">
        <f>IFERROR(H25/G25-1,"-")</f>
        <v>0.1401151631477926</v>
      </c>
      <c r="J25" s="194">
        <f t="shared" si="13"/>
        <v>5548</v>
      </c>
      <c r="K25" s="196">
        <f t="shared" si="12"/>
        <v>1.2865137767888338E-2</v>
      </c>
    </row>
    <row r="26" spans="1:23" x14ac:dyDescent="0.25">
      <c r="B26" s="194" t="s">
        <v>102</v>
      </c>
      <c r="C26" s="195">
        <v>36583</v>
      </c>
      <c r="D26" s="195">
        <v>97366</v>
      </c>
      <c r="E26" s="195">
        <v>92738</v>
      </c>
      <c r="F26" s="195">
        <v>77048</v>
      </c>
      <c r="G26" s="195">
        <v>73413</v>
      </c>
      <c r="H26" s="195">
        <v>52902</v>
      </c>
      <c r="I26" s="212">
        <f>IFERROR(H26/G26-1,"-")</f>
        <v>-0.27939193330881451</v>
      </c>
      <c r="J26" s="194">
        <f t="shared" si="13"/>
        <v>-20511</v>
      </c>
      <c r="K26" s="196">
        <f t="shared" si="12"/>
        <v>1.5076012719228E-2</v>
      </c>
    </row>
    <row r="27" spans="1:23" x14ac:dyDescent="0.25">
      <c r="B27" s="190" t="s">
        <v>109</v>
      </c>
      <c r="C27" s="191">
        <v>301810</v>
      </c>
      <c r="D27" s="191">
        <v>361022</v>
      </c>
      <c r="E27" s="191">
        <v>1088029</v>
      </c>
      <c r="F27" s="191">
        <v>1161294</v>
      </c>
      <c r="G27" s="191">
        <v>1207466</v>
      </c>
      <c r="H27" s="191">
        <v>1133632</v>
      </c>
      <c r="I27" s="211">
        <f>IFERROR(H27/G27-1,"-")</f>
        <v>-6.1147891534834131E-2</v>
      </c>
      <c r="J27" s="190">
        <f t="shared" si="13"/>
        <v>-73834</v>
      </c>
      <c r="K27" s="192">
        <f t="shared" si="12"/>
        <v>0.32306246362942564</v>
      </c>
    </row>
    <row r="28" spans="1:23" x14ac:dyDescent="0.25">
      <c r="B28" s="194" t="s">
        <v>112</v>
      </c>
      <c r="C28" s="195">
        <v>124154</v>
      </c>
      <c r="D28" s="195">
        <v>103377</v>
      </c>
      <c r="E28" s="195">
        <v>552012</v>
      </c>
      <c r="F28" s="195">
        <v>596874</v>
      </c>
      <c r="G28" s="195">
        <v>619587</v>
      </c>
      <c r="H28" s="195">
        <v>587567</v>
      </c>
      <c r="I28" s="212">
        <f t="shared" ref="I28:I35" si="14">IFERROR(H28/G28-1,"-")</f>
        <v>-5.1679586563307511E-2</v>
      </c>
      <c r="J28" s="194">
        <f t="shared" si="13"/>
        <v>-32020</v>
      </c>
      <c r="K28" s="196">
        <f t="shared" si="12"/>
        <v>0.16744485209252274</v>
      </c>
    </row>
    <row r="29" spans="1:23" x14ac:dyDescent="0.25">
      <c r="B29" s="194" t="s">
        <v>115</v>
      </c>
      <c r="C29" s="195">
        <v>39687</v>
      </c>
      <c r="D29" s="195">
        <v>65858</v>
      </c>
      <c r="E29" s="195">
        <v>125486</v>
      </c>
      <c r="F29" s="195">
        <v>136586</v>
      </c>
      <c r="G29" s="195">
        <v>136714</v>
      </c>
      <c r="H29" s="195">
        <v>126333</v>
      </c>
      <c r="I29" s="212">
        <f t="shared" si="14"/>
        <v>-7.5932238102900951E-2</v>
      </c>
      <c r="J29" s="194">
        <f t="shared" si="13"/>
        <v>-10381</v>
      </c>
      <c r="K29" s="196">
        <f t="shared" si="12"/>
        <v>3.6002380153079862E-2</v>
      </c>
    </row>
    <row r="30" spans="1:23" x14ac:dyDescent="0.25">
      <c r="B30" s="194" t="s">
        <v>118</v>
      </c>
      <c r="C30" s="195">
        <v>15068</v>
      </c>
      <c r="D30" s="195">
        <v>27894</v>
      </c>
      <c r="E30" s="195">
        <v>45049</v>
      </c>
      <c r="F30" s="195">
        <v>40730</v>
      </c>
      <c r="G30" s="195">
        <v>36577</v>
      </c>
      <c r="H30" s="195">
        <v>34388</v>
      </c>
      <c r="I30" s="212">
        <f t="shared" si="14"/>
        <v>-5.9846351532383713E-2</v>
      </c>
      <c r="J30" s="194">
        <f t="shared" si="13"/>
        <v>-2189</v>
      </c>
      <c r="K30" s="196">
        <f t="shared" si="12"/>
        <v>9.7998927335225978E-3</v>
      </c>
    </row>
    <row r="31" spans="1:23" x14ac:dyDescent="0.25">
      <c r="B31" s="194" t="s">
        <v>125</v>
      </c>
      <c r="C31" s="195">
        <v>12723</v>
      </c>
      <c r="D31" s="195">
        <v>25455</v>
      </c>
      <c r="E31" s="195">
        <v>56055</v>
      </c>
      <c r="F31" s="195">
        <v>49378</v>
      </c>
      <c r="G31" s="195">
        <v>52155</v>
      </c>
      <c r="H31" s="195">
        <v>48241</v>
      </c>
      <c r="I31" s="212">
        <f t="shared" si="14"/>
        <v>-7.5045537340619362E-2</v>
      </c>
      <c r="J31" s="194">
        <f t="shared" si="13"/>
        <v>-3914</v>
      </c>
      <c r="K31" s="196">
        <f t="shared" si="12"/>
        <v>1.3747720872335223E-2</v>
      </c>
    </row>
    <row r="32" spans="1:23" x14ac:dyDescent="0.25">
      <c r="B32" s="194" t="s">
        <v>121</v>
      </c>
      <c r="C32" s="195">
        <v>22341</v>
      </c>
      <c r="D32" s="195">
        <v>31934</v>
      </c>
      <c r="E32" s="195">
        <v>64497</v>
      </c>
      <c r="F32" s="195">
        <v>60977</v>
      </c>
      <c r="G32" s="195">
        <v>62640</v>
      </c>
      <c r="H32" s="195">
        <v>58503</v>
      </c>
      <c r="I32" s="212">
        <f t="shared" si="14"/>
        <v>-6.6044061302682033E-2</v>
      </c>
      <c r="J32" s="194">
        <f t="shared" si="13"/>
        <v>-4137</v>
      </c>
      <c r="K32" s="196">
        <f t="shared" si="12"/>
        <v>1.6672185779611277E-2</v>
      </c>
    </row>
    <row r="33" spans="2:11" x14ac:dyDescent="0.25">
      <c r="B33" s="194" t="s">
        <v>130</v>
      </c>
      <c r="C33" s="195">
        <v>9543</v>
      </c>
      <c r="D33" s="195">
        <v>2177</v>
      </c>
      <c r="E33" s="195">
        <v>15151</v>
      </c>
      <c r="F33" s="195">
        <v>16332</v>
      </c>
      <c r="G33" s="195">
        <v>16171</v>
      </c>
      <c r="H33" s="195">
        <v>14326</v>
      </c>
      <c r="I33" s="212">
        <f t="shared" si="14"/>
        <v>-0.11409312967658158</v>
      </c>
      <c r="J33" s="194">
        <f t="shared" si="13"/>
        <v>-1845</v>
      </c>
      <c r="K33" s="196">
        <f t="shared" si="12"/>
        <v>4.082623685600929E-3</v>
      </c>
    </row>
    <row r="34" spans="2:11" x14ac:dyDescent="0.25">
      <c r="B34" s="194" t="s">
        <v>133</v>
      </c>
      <c r="C34" s="195">
        <v>11268</v>
      </c>
      <c r="D34" s="195">
        <v>1356</v>
      </c>
      <c r="E34" s="195">
        <v>9915</v>
      </c>
      <c r="F34" s="195">
        <v>14999</v>
      </c>
      <c r="G34" s="195">
        <v>13867</v>
      </c>
      <c r="H34" s="195">
        <v>11581</v>
      </c>
      <c r="I34" s="212">
        <f t="shared" si="14"/>
        <v>-0.1648518064469604</v>
      </c>
      <c r="J34" s="194">
        <f t="shared" si="13"/>
        <v>-2286</v>
      </c>
      <c r="K34" s="196">
        <f t="shared" si="12"/>
        <v>3.3003535462058048E-3</v>
      </c>
    </row>
    <row r="35" spans="2:11" x14ac:dyDescent="0.25">
      <c r="B35" s="199" t="s">
        <v>147</v>
      </c>
      <c r="C35" s="200">
        <f t="shared" ref="C35" si="15">C27-SUM(C28:C34)</f>
        <v>67026</v>
      </c>
      <c r="D35" s="200">
        <f t="shared" ref="D35:H35" si="16">D27-SUM(D28:D34)</f>
        <v>102971</v>
      </c>
      <c r="E35" s="200">
        <f t="shared" si="16"/>
        <v>219864</v>
      </c>
      <c r="F35" s="200">
        <f t="shared" si="16"/>
        <v>245418</v>
      </c>
      <c r="G35" s="200">
        <f t="shared" si="16"/>
        <v>269755</v>
      </c>
      <c r="H35" s="200">
        <f t="shared" si="16"/>
        <v>252693</v>
      </c>
      <c r="I35" s="213">
        <f t="shared" si="14"/>
        <v>-6.3249986098496747E-2</v>
      </c>
      <c r="J35" s="199">
        <f>H35-G35</f>
        <v>-17062</v>
      </c>
      <c r="K35" s="201">
        <f t="shared" si="12"/>
        <v>7.2012454766547218E-2</v>
      </c>
    </row>
    <row r="36" spans="2:11" x14ac:dyDescent="0.25">
      <c r="B36" s="186" t="s">
        <v>47</v>
      </c>
      <c r="C36" s="184"/>
      <c r="D36" s="184"/>
      <c r="E36" s="184"/>
      <c r="F36" s="184"/>
      <c r="G36" s="184"/>
      <c r="H36" s="184"/>
      <c r="I36" s="185"/>
      <c r="J36" s="185"/>
      <c r="K36" s="184"/>
    </row>
    <row r="37" spans="2:11" x14ac:dyDescent="0.25">
      <c r="B37" s="187" t="s">
        <v>70</v>
      </c>
      <c r="C37" s="209">
        <f t="shared" ref="C37:H37" si="17">C38+C41</f>
        <v>179799</v>
      </c>
      <c r="D37" s="209">
        <f t="shared" si="17"/>
        <v>158744</v>
      </c>
      <c r="E37" s="209">
        <f t="shared" si="17"/>
        <v>618226</v>
      </c>
      <c r="F37" s="209">
        <f t="shared" si="17"/>
        <v>671817</v>
      </c>
      <c r="G37" s="209">
        <f t="shared" si="17"/>
        <v>719190</v>
      </c>
      <c r="H37" s="209">
        <f t="shared" si="17"/>
        <v>735655</v>
      </c>
      <c r="I37" s="210">
        <f>IFERROR(H37/G37-1,"-")</f>
        <v>2.2893811093035232E-2</v>
      </c>
      <c r="J37" s="209">
        <f>H37-G37</f>
        <v>16465</v>
      </c>
      <c r="K37" s="210">
        <f t="shared" ref="K37:K49" si="18">H37/H$9</f>
        <v>0.20964697245782155</v>
      </c>
    </row>
    <row r="38" spans="2:11" x14ac:dyDescent="0.25">
      <c r="B38" s="190" t="s">
        <v>99</v>
      </c>
      <c r="C38" s="191">
        <v>20245</v>
      </c>
      <c r="D38" s="191">
        <v>30068</v>
      </c>
      <c r="E38" s="191">
        <v>72608</v>
      </c>
      <c r="F38" s="191">
        <v>70476</v>
      </c>
      <c r="G38" s="191">
        <v>71063</v>
      </c>
      <c r="H38" s="191">
        <v>69827</v>
      </c>
      <c r="I38" s="211">
        <f>IFERROR(H38/G38-1,"-")</f>
        <v>-1.7393017463377514E-2</v>
      </c>
      <c r="J38" s="190">
        <f t="shared" ref="J38:J48" si="19">H38-G38</f>
        <v>-1236</v>
      </c>
      <c r="K38" s="192">
        <f t="shared" si="18"/>
        <v>1.9899299462128719E-2</v>
      </c>
    </row>
    <row r="39" spans="2:11" x14ac:dyDescent="0.25">
      <c r="B39" s="194" t="s">
        <v>105</v>
      </c>
      <c r="C39" s="195">
        <v>3458</v>
      </c>
      <c r="D39" s="195">
        <v>6859</v>
      </c>
      <c r="E39" s="195">
        <v>16810</v>
      </c>
      <c r="F39" s="195">
        <v>25570</v>
      </c>
      <c r="G39" s="195">
        <v>28518</v>
      </c>
      <c r="H39" s="195">
        <v>26647</v>
      </c>
      <c r="I39" s="212">
        <f>IFERROR(H39/G39-1,"-")</f>
        <v>-6.5607686373518437E-2</v>
      </c>
      <c r="J39" s="194">
        <f t="shared" si="19"/>
        <v>-1871</v>
      </c>
      <c r="K39" s="196">
        <f t="shared" si="18"/>
        <v>7.5938624424269126E-3</v>
      </c>
    </row>
    <row r="40" spans="2:11" x14ac:dyDescent="0.25">
      <c r="B40" s="194" t="s">
        <v>102</v>
      </c>
      <c r="C40" s="195">
        <v>16787</v>
      </c>
      <c r="D40" s="195">
        <v>23209</v>
      </c>
      <c r="E40" s="195">
        <v>55798</v>
      </c>
      <c r="F40" s="195">
        <v>44906</v>
      </c>
      <c r="G40" s="195">
        <v>42545</v>
      </c>
      <c r="H40" s="195">
        <v>43180</v>
      </c>
      <c r="I40" s="212">
        <f>IFERROR(H40/G40-1,"-")</f>
        <v>1.4925373134328401E-2</v>
      </c>
      <c r="J40" s="194">
        <f t="shared" si="19"/>
        <v>635</v>
      </c>
      <c r="K40" s="196">
        <f t="shared" si="18"/>
        <v>1.2305437019701809E-2</v>
      </c>
    </row>
    <row r="41" spans="2:11" x14ac:dyDescent="0.25">
      <c r="B41" s="190" t="s">
        <v>109</v>
      </c>
      <c r="C41" s="191">
        <v>159554</v>
      </c>
      <c r="D41" s="191">
        <v>128676</v>
      </c>
      <c r="E41" s="191">
        <v>545618</v>
      </c>
      <c r="F41" s="191">
        <v>601341</v>
      </c>
      <c r="G41" s="191">
        <v>648127</v>
      </c>
      <c r="H41" s="191">
        <v>665828</v>
      </c>
      <c r="I41" s="211">
        <f>IFERROR(H41/G41-1,"-")</f>
        <v>2.7311005404804911E-2</v>
      </c>
      <c r="J41" s="190">
        <f t="shared" si="19"/>
        <v>17701</v>
      </c>
      <c r="K41" s="192">
        <f t="shared" si="18"/>
        <v>0.18974767299569281</v>
      </c>
    </row>
    <row r="42" spans="2:11" x14ac:dyDescent="0.25">
      <c r="B42" s="194" t="s">
        <v>112</v>
      </c>
      <c r="C42" s="195">
        <v>75666</v>
      </c>
      <c r="D42" s="195">
        <v>46628</v>
      </c>
      <c r="E42" s="195">
        <v>285701</v>
      </c>
      <c r="F42" s="195">
        <v>314515</v>
      </c>
      <c r="G42" s="195">
        <v>348529</v>
      </c>
      <c r="H42" s="195">
        <v>349567</v>
      </c>
      <c r="I42" s="212">
        <f t="shared" ref="I42:I49" si="20">IFERROR(H42/G42-1,"-")</f>
        <v>2.9782313666868454E-3</v>
      </c>
      <c r="J42" s="194">
        <f t="shared" si="19"/>
        <v>1038</v>
      </c>
      <c r="K42" s="196">
        <f t="shared" si="18"/>
        <v>9.9619608676843496E-2</v>
      </c>
    </row>
    <row r="43" spans="2:11" x14ac:dyDescent="0.25">
      <c r="B43" s="194" t="s">
        <v>115</v>
      </c>
      <c r="C43" s="195">
        <v>9493</v>
      </c>
      <c r="D43" s="195">
        <v>7681</v>
      </c>
      <c r="E43" s="195">
        <v>20857</v>
      </c>
      <c r="F43" s="195">
        <v>26333</v>
      </c>
      <c r="G43" s="195">
        <v>24747</v>
      </c>
      <c r="H43" s="195">
        <v>26587</v>
      </c>
      <c r="I43" s="212">
        <f t="shared" si="20"/>
        <v>7.4352446761223545E-2</v>
      </c>
      <c r="J43" s="194">
        <f t="shared" si="19"/>
        <v>1840</v>
      </c>
      <c r="K43" s="196">
        <f t="shared" si="18"/>
        <v>7.5767636415658172E-3</v>
      </c>
    </row>
    <row r="44" spans="2:11" x14ac:dyDescent="0.25">
      <c r="B44" s="194" t="s">
        <v>118</v>
      </c>
      <c r="C44" s="195">
        <v>5450</v>
      </c>
      <c r="D44" s="195">
        <v>7014</v>
      </c>
      <c r="E44" s="195">
        <v>14615</v>
      </c>
      <c r="F44" s="195">
        <v>16785</v>
      </c>
      <c r="G44" s="195">
        <v>16665</v>
      </c>
      <c r="H44" s="195">
        <v>18274</v>
      </c>
      <c r="I44" s="212">
        <f t="shared" si="20"/>
        <v>9.6549654965496501E-2</v>
      </c>
      <c r="J44" s="194">
        <f t="shared" si="19"/>
        <v>1609</v>
      </c>
      <c r="K44" s="196">
        <f t="shared" si="18"/>
        <v>5.2077247822610202E-3</v>
      </c>
    </row>
    <row r="45" spans="2:11" x14ac:dyDescent="0.25">
      <c r="B45" s="194" t="s">
        <v>125</v>
      </c>
      <c r="C45" s="195">
        <v>6157</v>
      </c>
      <c r="D45" s="195">
        <v>9819</v>
      </c>
      <c r="E45" s="195">
        <v>26212</v>
      </c>
      <c r="F45" s="195">
        <v>24743</v>
      </c>
      <c r="G45" s="195">
        <v>27021</v>
      </c>
      <c r="H45" s="195">
        <v>24322</v>
      </c>
      <c r="I45" s="212">
        <f t="shared" si="20"/>
        <v>-9.9885274416194769E-2</v>
      </c>
      <c r="J45" s="194">
        <f t="shared" si="19"/>
        <v>-2699</v>
      </c>
      <c r="K45" s="196">
        <f t="shared" si="18"/>
        <v>6.9312839090594578E-3</v>
      </c>
    </row>
    <row r="46" spans="2:11" x14ac:dyDescent="0.25">
      <c r="B46" s="194" t="s">
        <v>121</v>
      </c>
      <c r="C46" s="195">
        <v>11013</v>
      </c>
      <c r="D46" s="195">
        <v>11202</v>
      </c>
      <c r="E46" s="195">
        <v>24904</v>
      </c>
      <c r="F46" s="195">
        <v>29443</v>
      </c>
      <c r="G46" s="195">
        <v>29628</v>
      </c>
      <c r="H46" s="195">
        <v>26512</v>
      </c>
      <c r="I46" s="212">
        <f t="shared" si="20"/>
        <v>-0.10517078439314165</v>
      </c>
      <c r="J46" s="194">
        <f t="shared" si="19"/>
        <v>-3116</v>
      </c>
      <c r="K46" s="196">
        <f t="shared" si="18"/>
        <v>7.5553901404894477E-3</v>
      </c>
    </row>
    <row r="47" spans="2:11" x14ac:dyDescent="0.25">
      <c r="B47" s="194" t="s">
        <v>130</v>
      </c>
      <c r="C47" s="195">
        <v>3340</v>
      </c>
      <c r="D47" s="195">
        <v>1568</v>
      </c>
      <c r="E47" s="195">
        <v>6392</v>
      </c>
      <c r="F47" s="195">
        <v>7185</v>
      </c>
      <c r="G47" s="195">
        <v>6190</v>
      </c>
      <c r="H47" s="195">
        <v>7423</v>
      </c>
      <c r="I47" s="212">
        <f t="shared" si="20"/>
        <v>0.19919224555735049</v>
      </c>
      <c r="J47" s="194">
        <f t="shared" si="19"/>
        <v>1233</v>
      </c>
      <c r="K47" s="196">
        <f t="shared" si="18"/>
        <v>2.1154066465318786E-3</v>
      </c>
    </row>
    <row r="48" spans="2:11" x14ac:dyDescent="0.25">
      <c r="B48" s="194" t="s">
        <v>133</v>
      </c>
      <c r="C48" s="195">
        <v>4839</v>
      </c>
      <c r="D48" s="195">
        <v>1087</v>
      </c>
      <c r="E48" s="195">
        <v>4756</v>
      </c>
      <c r="F48" s="195">
        <v>7018</v>
      </c>
      <c r="G48" s="195">
        <v>6079</v>
      </c>
      <c r="H48" s="195">
        <v>5391</v>
      </c>
      <c r="I48" s="212">
        <f t="shared" si="20"/>
        <v>-0.11317650929429179</v>
      </c>
      <c r="J48" s="194">
        <f t="shared" si="19"/>
        <v>-688</v>
      </c>
      <c r="K48" s="196">
        <f t="shared" si="18"/>
        <v>1.5363272573694407E-3</v>
      </c>
    </row>
    <row r="49" spans="2:11" x14ac:dyDescent="0.25">
      <c r="B49" s="199" t="s">
        <v>147</v>
      </c>
      <c r="C49" s="200">
        <f t="shared" ref="C49" si="21">C41-SUM(C42:C48)</f>
        <v>43596</v>
      </c>
      <c r="D49" s="200">
        <f t="shared" ref="D49:H49" si="22">D41-SUM(D42:D48)</f>
        <v>43677</v>
      </c>
      <c r="E49" s="200">
        <f t="shared" si="22"/>
        <v>162181</v>
      </c>
      <c r="F49" s="200">
        <f t="shared" si="22"/>
        <v>175319</v>
      </c>
      <c r="G49" s="200">
        <f t="shared" si="22"/>
        <v>189268</v>
      </c>
      <c r="H49" s="200">
        <f t="shared" si="22"/>
        <v>207752</v>
      </c>
      <c r="I49" s="213">
        <f t="shared" si="20"/>
        <v>9.7660460299680896E-2</v>
      </c>
      <c r="J49" s="199">
        <f>H49-G49</f>
        <v>18484</v>
      </c>
      <c r="K49" s="201">
        <f t="shared" si="18"/>
        <v>5.9205167941572261E-2</v>
      </c>
    </row>
    <row r="50" spans="2:11" x14ac:dyDescent="0.25">
      <c r="B50" s="186" t="s">
        <v>48</v>
      </c>
      <c r="C50" s="184"/>
      <c r="D50" s="184"/>
      <c r="E50" s="184"/>
      <c r="F50" s="184"/>
      <c r="G50" s="184"/>
      <c r="H50" s="184"/>
      <c r="I50" s="185"/>
      <c r="J50" s="185"/>
      <c r="K50" s="184"/>
    </row>
    <row r="51" spans="2:11" x14ac:dyDescent="0.25">
      <c r="B51" s="187" t="s">
        <v>70</v>
      </c>
      <c r="C51" s="209">
        <f t="shared" ref="C51:H51" si="23">C52+C55</f>
        <v>9750</v>
      </c>
      <c r="D51" s="209">
        <f t="shared" si="23"/>
        <v>14685</v>
      </c>
      <c r="E51" s="209">
        <f t="shared" si="23"/>
        <v>29058</v>
      </c>
      <c r="F51" s="209">
        <f t="shared" si="23"/>
        <v>40794</v>
      </c>
      <c r="G51" s="209">
        <f t="shared" si="23"/>
        <v>35457</v>
      </c>
      <c r="H51" s="209">
        <f t="shared" si="23"/>
        <v>35550</v>
      </c>
      <c r="I51" s="210">
        <f>IFERROR(H51/G51-1,"-")</f>
        <v>2.6228953380149633E-3</v>
      </c>
      <c r="J51" s="209">
        <f>H51-G51</f>
        <v>93</v>
      </c>
      <c r="K51" s="210">
        <f t="shared" ref="K51:K63" si="24">H51/H$9</f>
        <v>1.013103951019915E-2</v>
      </c>
    </row>
    <row r="52" spans="2:11" x14ac:dyDescent="0.25">
      <c r="B52" s="190" t="s">
        <v>99</v>
      </c>
      <c r="C52" s="191">
        <v>1894</v>
      </c>
      <c r="D52" s="191">
        <v>4565</v>
      </c>
      <c r="E52" s="191">
        <v>4856</v>
      </c>
      <c r="F52" s="191">
        <v>17330</v>
      </c>
      <c r="G52" s="191">
        <v>9653</v>
      </c>
      <c r="H52" s="191">
        <v>8049</v>
      </c>
      <c r="I52" s="211">
        <f>IFERROR(H52/G52-1,"-")</f>
        <v>-0.16616595876929452</v>
      </c>
      <c r="J52" s="190">
        <f t="shared" ref="J52:J62" si="25">H52-G52</f>
        <v>-1604</v>
      </c>
      <c r="K52" s="192">
        <f t="shared" si="24"/>
        <v>2.2938041355159765E-3</v>
      </c>
    </row>
    <row r="53" spans="2:11" x14ac:dyDescent="0.25">
      <c r="B53" s="194" t="s">
        <v>105</v>
      </c>
      <c r="C53" s="195">
        <v>1421</v>
      </c>
      <c r="D53" s="195">
        <v>2335</v>
      </c>
      <c r="E53" s="195">
        <v>2591</v>
      </c>
      <c r="F53" s="195">
        <v>12810</v>
      </c>
      <c r="G53" s="195">
        <v>6601</v>
      </c>
      <c r="H53" s="195">
        <v>4692</v>
      </c>
      <c r="I53" s="212">
        <f>IFERROR(H53/G53-1,"-")</f>
        <v>-0.28919860627177696</v>
      </c>
      <c r="J53" s="194">
        <f t="shared" si="25"/>
        <v>-1909</v>
      </c>
      <c r="K53" s="196">
        <f t="shared" si="24"/>
        <v>1.3371262273376768E-3</v>
      </c>
    </row>
    <row r="54" spans="2:11" x14ac:dyDescent="0.25">
      <c r="B54" s="194" t="s">
        <v>102</v>
      </c>
      <c r="C54" s="195">
        <v>473</v>
      </c>
      <c r="D54" s="195">
        <v>2230</v>
      </c>
      <c r="E54" s="195">
        <v>2265</v>
      </c>
      <c r="F54" s="195">
        <v>4520</v>
      </c>
      <c r="G54" s="195">
        <v>3052</v>
      </c>
      <c r="H54" s="195">
        <v>3357</v>
      </c>
      <c r="I54" s="212">
        <f>IFERROR(H54/G54-1,"-")</f>
        <v>9.9934469200524179E-2</v>
      </c>
      <c r="J54" s="194">
        <f t="shared" si="25"/>
        <v>305</v>
      </c>
      <c r="K54" s="196">
        <f t="shared" si="24"/>
        <v>9.5667790817829945E-4</v>
      </c>
    </row>
    <row r="55" spans="2:11" x14ac:dyDescent="0.25">
      <c r="B55" s="190" t="s">
        <v>109</v>
      </c>
      <c r="C55" s="191">
        <v>7856</v>
      </c>
      <c r="D55" s="191">
        <v>10120</v>
      </c>
      <c r="E55" s="191">
        <v>24202</v>
      </c>
      <c r="F55" s="191">
        <v>23464</v>
      </c>
      <c r="G55" s="191">
        <v>25804</v>
      </c>
      <c r="H55" s="191">
        <v>27501</v>
      </c>
      <c r="I55" s="211">
        <f>IFERROR(H55/G55-1,"-")</f>
        <v>6.5764997674779169E-2</v>
      </c>
      <c r="J55" s="190">
        <f t="shared" si="25"/>
        <v>1697</v>
      </c>
      <c r="K55" s="192">
        <f t="shared" si="24"/>
        <v>7.8372353746831731E-3</v>
      </c>
    </row>
    <row r="56" spans="2:11" x14ac:dyDescent="0.25">
      <c r="B56" s="194" t="s">
        <v>112</v>
      </c>
      <c r="C56" s="195">
        <v>2355</v>
      </c>
      <c r="D56" s="195">
        <v>1798</v>
      </c>
      <c r="E56" s="195">
        <v>8555</v>
      </c>
      <c r="F56" s="195">
        <v>7448</v>
      </c>
      <c r="G56" s="195">
        <v>9085</v>
      </c>
      <c r="H56" s="195">
        <v>9913</v>
      </c>
      <c r="I56" s="212">
        <f t="shared" ref="I56:I63" si="26">IFERROR(H56/G56-1,"-")</f>
        <v>9.1139240506329156E-2</v>
      </c>
      <c r="J56" s="194">
        <f t="shared" si="25"/>
        <v>828</v>
      </c>
      <c r="K56" s="196">
        <f t="shared" si="24"/>
        <v>2.8250068822673466E-3</v>
      </c>
    </row>
    <row r="57" spans="2:11" x14ac:dyDescent="0.25">
      <c r="B57" s="194" t="s">
        <v>115</v>
      </c>
      <c r="C57" s="195">
        <v>2284</v>
      </c>
      <c r="D57" s="195">
        <v>3145</v>
      </c>
      <c r="E57" s="195">
        <v>5239</v>
      </c>
      <c r="F57" s="195">
        <v>4103</v>
      </c>
      <c r="G57" s="195">
        <v>4942</v>
      </c>
      <c r="H57" s="195">
        <v>5240</v>
      </c>
      <c r="I57" s="212">
        <f t="shared" si="26"/>
        <v>6.0299473897207578E-2</v>
      </c>
      <c r="J57" s="194">
        <f t="shared" si="25"/>
        <v>298</v>
      </c>
      <c r="K57" s="196">
        <f t="shared" si="24"/>
        <v>1.49329527520235E-3</v>
      </c>
    </row>
    <row r="58" spans="2:11" x14ac:dyDescent="0.25">
      <c r="B58" s="194" t="s">
        <v>118</v>
      </c>
      <c r="C58" s="195">
        <v>448</v>
      </c>
      <c r="D58" s="195">
        <v>1383</v>
      </c>
      <c r="E58" s="195">
        <v>2127</v>
      </c>
      <c r="F58" s="195">
        <v>2370</v>
      </c>
      <c r="G58" s="195">
        <v>1950</v>
      </c>
      <c r="H58" s="195">
        <v>2184</v>
      </c>
      <c r="I58" s="212">
        <f t="shared" si="26"/>
        <v>0.12000000000000011</v>
      </c>
      <c r="J58" s="194">
        <f t="shared" si="25"/>
        <v>234</v>
      </c>
      <c r="K58" s="196">
        <f t="shared" si="24"/>
        <v>6.223963513438802E-4</v>
      </c>
    </row>
    <row r="59" spans="2:11" x14ac:dyDescent="0.25">
      <c r="B59" s="194" t="s">
        <v>125</v>
      </c>
      <c r="C59" s="195">
        <v>234</v>
      </c>
      <c r="D59" s="195">
        <v>251</v>
      </c>
      <c r="E59" s="195">
        <v>711</v>
      </c>
      <c r="F59" s="195">
        <v>574</v>
      </c>
      <c r="G59" s="195">
        <v>855</v>
      </c>
      <c r="H59" s="195">
        <v>846</v>
      </c>
      <c r="I59" s="212">
        <f t="shared" si="26"/>
        <v>-1.0526315789473717E-2</v>
      </c>
      <c r="J59" s="194">
        <f t="shared" si="25"/>
        <v>-9</v>
      </c>
      <c r="K59" s="196">
        <f t="shared" si="24"/>
        <v>2.4109309214144812E-4</v>
      </c>
    </row>
    <row r="60" spans="2:11" x14ac:dyDescent="0.25">
      <c r="B60" s="194" t="s">
        <v>121</v>
      </c>
      <c r="C60" s="195">
        <v>165</v>
      </c>
      <c r="D60" s="195">
        <v>290</v>
      </c>
      <c r="E60" s="195">
        <v>550</v>
      </c>
      <c r="F60" s="195">
        <v>522</v>
      </c>
      <c r="G60" s="195">
        <v>589</v>
      </c>
      <c r="H60" s="195">
        <v>675</v>
      </c>
      <c r="I60" s="212">
        <f t="shared" si="26"/>
        <v>0.14601018675721567</v>
      </c>
      <c r="J60" s="194">
        <f t="shared" si="25"/>
        <v>86</v>
      </c>
      <c r="K60" s="196">
        <f t="shared" si="24"/>
        <v>1.9236150968732563E-4</v>
      </c>
    </row>
    <row r="61" spans="2:11" x14ac:dyDescent="0.25">
      <c r="B61" s="194" t="s">
        <v>130</v>
      </c>
      <c r="C61" s="195">
        <v>76</v>
      </c>
      <c r="D61" s="195">
        <v>47</v>
      </c>
      <c r="E61" s="195">
        <v>70</v>
      </c>
      <c r="F61" s="195">
        <v>182</v>
      </c>
      <c r="G61" s="195">
        <v>98</v>
      </c>
      <c r="H61" s="195">
        <v>180</v>
      </c>
      <c r="I61" s="212">
        <f t="shared" si="26"/>
        <v>0.83673469387755106</v>
      </c>
      <c r="J61" s="194">
        <f t="shared" si="25"/>
        <v>82</v>
      </c>
      <c r="K61" s="196">
        <f t="shared" si="24"/>
        <v>5.1296402583286835E-5</v>
      </c>
    </row>
    <row r="62" spans="2:11" x14ac:dyDescent="0.25">
      <c r="B62" s="194" t="s">
        <v>133</v>
      </c>
      <c r="C62" s="195">
        <v>111</v>
      </c>
      <c r="D62" s="195">
        <v>42</v>
      </c>
      <c r="E62" s="195">
        <v>110</v>
      </c>
      <c r="F62" s="195">
        <v>156</v>
      </c>
      <c r="G62" s="195">
        <v>98</v>
      </c>
      <c r="H62" s="195">
        <v>435</v>
      </c>
      <c r="I62" s="212">
        <f t="shared" si="26"/>
        <v>3.4387755102040813</v>
      </c>
      <c r="J62" s="194">
        <f t="shared" si="25"/>
        <v>337</v>
      </c>
      <c r="K62" s="196">
        <f t="shared" si="24"/>
        <v>1.2396630624294318E-4</v>
      </c>
    </row>
    <row r="63" spans="2:11" x14ac:dyDescent="0.25">
      <c r="B63" s="199" t="s">
        <v>147</v>
      </c>
      <c r="C63" s="200">
        <f t="shared" ref="C63" si="27">C55-SUM(C56:C62)</f>
        <v>2183</v>
      </c>
      <c r="D63" s="200">
        <f t="shared" ref="D63:H63" si="28">D55-SUM(D56:D62)</f>
        <v>3164</v>
      </c>
      <c r="E63" s="200">
        <f t="shared" si="28"/>
        <v>6840</v>
      </c>
      <c r="F63" s="200">
        <f t="shared" si="28"/>
        <v>8109</v>
      </c>
      <c r="G63" s="200">
        <f t="shared" si="28"/>
        <v>8187</v>
      </c>
      <c r="H63" s="200">
        <f t="shared" si="28"/>
        <v>8028</v>
      </c>
      <c r="I63" s="213">
        <f t="shared" si="26"/>
        <v>-1.9421033345547789E-2</v>
      </c>
      <c r="J63" s="199">
        <f>H63-G63</f>
        <v>-159</v>
      </c>
      <c r="K63" s="201">
        <f t="shared" si="24"/>
        <v>2.287819555214593E-3</v>
      </c>
    </row>
    <row r="64" spans="2:11" x14ac:dyDescent="0.25">
      <c r="B64" s="186" t="s">
        <v>49</v>
      </c>
      <c r="C64" s="184"/>
      <c r="D64" s="184"/>
      <c r="E64" s="184"/>
      <c r="F64" s="184"/>
      <c r="G64" s="184"/>
      <c r="H64" s="184"/>
      <c r="I64" s="185"/>
      <c r="J64" s="185"/>
      <c r="K64" s="184"/>
    </row>
    <row r="65" spans="2:11" x14ac:dyDescent="0.25">
      <c r="B65" s="187" t="s">
        <v>70</v>
      </c>
      <c r="C65" s="209">
        <f t="shared" ref="C65:H65" si="29">C66+C69</f>
        <v>40665</v>
      </c>
      <c r="D65" s="209">
        <f t="shared" si="29"/>
        <v>44291</v>
      </c>
      <c r="E65" s="209">
        <f t="shared" si="29"/>
        <v>124085</v>
      </c>
      <c r="F65" s="209">
        <f t="shared" si="29"/>
        <v>147548</v>
      </c>
      <c r="G65" s="209">
        <f t="shared" si="29"/>
        <v>167311</v>
      </c>
      <c r="H65" s="209">
        <f t="shared" si="29"/>
        <v>127098</v>
      </c>
      <c r="I65" s="210">
        <f>IFERROR(H65/G65-1,"-")</f>
        <v>-0.24034881149476128</v>
      </c>
      <c r="J65" s="209">
        <f>H65-G65</f>
        <v>-40213</v>
      </c>
      <c r="K65" s="210">
        <f t="shared" ref="K65:K77" si="30">H65/H$9</f>
        <v>3.622038986405883E-2</v>
      </c>
    </row>
    <row r="66" spans="2:11" x14ac:dyDescent="0.25">
      <c r="B66" s="190" t="s">
        <v>99</v>
      </c>
      <c r="C66" s="191">
        <v>20003</v>
      </c>
      <c r="D66" s="191">
        <v>23633</v>
      </c>
      <c r="E66" s="191">
        <v>29429</v>
      </c>
      <c r="F66" s="191">
        <v>39443</v>
      </c>
      <c r="G66" s="191">
        <v>51353</v>
      </c>
      <c r="H66" s="191">
        <v>35167</v>
      </c>
      <c r="I66" s="211">
        <f>IFERROR(H66/G66-1,"-")</f>
        <v>-0.31519093334371895</v>
      </c>
      <c r="J66" s="190">
        <f t="shared" ref="J66:J76" si="31">H66-G66</f>
        <v>-16186</v>
      </c>
      <c r="K66" s="192">
        <f t="shared" si="30"/>
        <v>1.0021892164702489E-2</v>
      </c>
    </row>
    <row r="67" spans="2:11" x14ac:dyDescent="0.25">
      <c r="B67" s="194" t="s">
        <v>105</v>
      </c>
      <c r="C67" s="195">
        <v>7091</v>
      </c>
      <c r="D67" s="195">
        <v>20260</v>
      </c>
      <c r="E67" s="195">
        <v>22700</v>
      </c>
      <c r="F67" s="195">
        <v>28099</v>
      </c>
      <c r="G67" s="195">
        <v>31529</v>
      </c>
      <c r="H67" s="195">
        <v>11996</v>
      </c>
      <c r="I67" s="212">
        <f>IFERROR(H67/G67-1,"-")</f>
        <v>-0.61952488185480037</v>
      </c>
      <c r="J67" s="194">
        <f t="shared" si="31"/>
        <v>-19533</v>
      </c>
      <c r="K67" s="196">
        <f t="shared" si="30"/>
        <v>3.4186202521617158E-3</v>
      </c>
    </row>
    <row r="68" spans="2:11" x14ac:dyDescent="0.25">
      <c r="B68" s="194" t="s">
        <v>102</v>
      </c>
      <c r="C68" s="195">
        <v>12912</v>
      </c>
      <c r="D68" s="195">
        <v>3373</v>
      </c>
      <c r="E68" s="195">
        <v>6729</v>
      </c>
      <c r="F68" s="195">
        <v>11344</v>
      </c>
      <c r="G68" s="195">
        <v>19824</v>
      </c>
      <c r="H68" s="195">
        <v>23171</v>
      </c>
      <c r="I68" s="212">
        <f>IFERROR(H68/G68-1,"-")</f>
        <v>0.16883575464083944</v>
      </c>
      <c r="J68" s="194">
        <f t="shared" si="31"/>
        <v>3347</v>
      </c>
      <c r="K68" s="196">
        <f t="shared" si="30"/>
        <v>6.6032719125407738E-3</v>
      </c>
    </row>
    <row r="69" spans="2:11" x14ac:dyDescent="0.25">
      <c r="B69" s="190" t="s">
        <v>109</v>
      </c>
      <c r="C69" s="191">
        <v>20662</v>
      </c>
      <c r="D69" s="191">
        <v>20658</v>
      </c>
      <c r="E69" s="191">
        <v>94656</v>
      </c>
      <c r="F69" s="191">
        <v>108105</v>
      </c>
      <c r="G69" s="191">
        <v>115958</v>
      </c>
      <c r="H69" s="191">
        <v>91931</v>
      </c>
      <c r="I69" s="211">
        <f>IFERROR(H69/G69-1,"-")</f>
        <v>-0.20720433260318394</v>
      </c>
      <c r="J69" s="190">
        <f t="shared" si="31"/>
        <v>-24027</v>
      </c>
      <c r="K69" s="192">
        <f t="shared" si="30"/>
        <v>2.6198497699356345E-2</v>
      </c>
    </row>
    <row r="70" spans="2:11" x14ac:dyDescent="0.25">
      <c r="B70" s="194" t="s">
        <v>112</v>
      </c>
      <c r="C70" s="195">
        <v>7853</v>
      </c>
      <c r="D70" s="195">
        <v>5486</v>
      </c>
      <c r="E70" s="195">
        <v>44166</v>
      </c>
      <c r="F70" s="195">
        <v>39770</v>
      </c>
      <c r="G70" s="195">
        <v>39292</v>
      </c>
      <c r="H70" s="195">
        <v>40004</v>
      </c>
      <c r="I70" s="212">
        <f t="shared" ref="I70:I77" si="32">IFERROR(H70/G70-1,"-")</f>
        <v>1.8120737045709046E-2</v>
      </c>
      <c r="J70" s="194">
        <f t="shared" si="31"/>
        <v>712</v>
      </c>
      <c r="K70" s="196">
        <f t="shared" si="30"/>
        <v>1.1400340494121147E-2</v>
      </c>
    </row>
    <row r="71" spans="2:11" x14ac:dyDescent="0.25">
      <c r="B71" s="194" t="s">
        <v>115</v>
      </c>
      <c r="C71" s="195">
        <v>2468</v>
      </c>
      <c r="D71" s="195">
        <v>2729</v>
      </c>
      <c r="E71" s="195">
        <v>5830</v>
      </c>
      <c r="F71" s="195">
        <v>7118</v>
      </c>
      <c r="G71" s="195">
        <v>7568</v>
      </c>
      <c r="H71" s="195">
        <v>8306</v>
      </c>
      <c r="I71" s="212">
        <f t="shared" si="32"/>
        <v>9.751585623678638E-2</v>
      </c>
      <c r="J71" s="194">
        <f t="shared" si="31"/>
        <v>738</v>
      </c>
      <c r="K71" s="196">
        <f t="shared" si="30"/>
        <v>2.3670439992043357E-3</v>
      </c>
    </row>
    <row r="72" spans="2:11" x14ac:dyDescent="0.25">
      <c r="B72" s="194" t="s">
        <v>118</v>
      </c>
      <c r="C72" s="195">
        <v>2800</v>
      </c>
      <c r="D72" s="195">
        <v>3553</v>
      </c>
      <c r="E72" s="195">
        <v>14265</v>
      </c>
      <c r="F72" s="195">
        <v>14596</v>
      </c>
      <c r="G72" s="195">
        <v>17781</v>
      </c>
      <c r="H72" s="195">
        <v>8543</v>
      </c>
      <c r="I72" s="212">
        <f t="shared" si="32"/>
        <v>-0.51954333277093534</v>
      </c>
      <c r="J72" s="194">
        <f t="shared" si="31"/>
        <v>-9238</v>
      </c>
      <c r="K72" s="196">
        <f t="shared" si="30"/>
        <v>2.4345842626056634E-3</v>
      </c>
    </row>
    <row r="73" spans="2:11" x14ac:dyDescent="0.25">
      <c r="B73" s="194" t="s">
        <v>125</v>
      </c>
      <c r="C73" s="195">
        <v>265</v>
      </c>
      <c r="D73" s="195">
        <v>818</v>
      </c>
      <c r="E73" s="195">
        <v>1612</v>
      </c>
      <c r="F73" s="195">
        <v>2887</v>
      </c>
      <c r="G73" s="195">
        <v>3774</v>
      </c>
      <c r="H73" s="195">
        <v>2089</v>
      </c>
      <c r="I73" s="212">
        <f t="shared" si="32"/>
        <v>-0.44647588765235824</v>
      </c>
      <c r="J73" s="194">
        <f t="shared" si="31"/>
        <v>-1685</v>
      </c>
      <c r="K73" s="196">
        <f t="shared" si="30"/>
        <v>5.9532324998047884E-4</v>
      </c>
    </row>
    <row r="74" spans="2:11" x14ac:dyDescent="0.25">
      <c r="B74" s="194" t="s">
        <v>121</v>
      </c>
      <c r="C74" s="195">
        <v>831</v>
      </c>
      <c r="D74" s="195">
        <v>1017</v>
      </c>
      <c r="E74" s="195">
        <v>2323</v>
      </c>
      <c r="F74" s="195">
        <v>2141</v>
      </c>
      <c r="G74" s="195">
        <v>3327</v>
      </c>
      <c r="H74" s="195">
        <v>2383</v>
      </c>
      <c r="I74" s="212">
        <f t="shared" si="32"/>
        <v>-0.28373910429816651</v>
      </c>
      <c r="J74" s="194">
        <f t="shared" si="31"/>
        <v>-944</v>
      </c>
      <c r="K74" s="196">
        <f t="shared" si="30"/>
        <v>6.7910737419984741E-4</v>
      </c>
    </row>
    <row r="75" spans="2:11" x14ac:dyDescent="0.25">
      <c r="B75" s="194" t="s">
        <v>130</v>
      </c>
      <c r="C75" s="195">
        <v>636</v>
      </c>
      <c r="D75" s="195">
        <v>128</v>
      </c>
      <c r="E75" s="195">
        <v>1235</v>
      </c>
      <c r="F75" s="195">
        <v>3490</v>
      </c>
      <c r="G75" s="195">
        <v>1888</v>
      </c>
      <c r="H75" s="195">
        <v>902</v>
      </c>
      <c r="I75" s="212">
        <f t="shared" si="32"/>
        <v>-0.5222457627118644</v>
      </c>
      <c r="J75" s="194">
        <f t="shared" si="31"/>
        <v>-986</v>
      </c>
      <c r="K75" s="196">
        <f t="shared" si="30"/>
        <v>2.5705197294513738E-4</v>
      </c>
    </row>
    <row r="76" spans="2:11" x14ac:dyDescent="0.25">
      <c r="B76" s="194" t="s">
        <v>133</v>
      </c>
      <c r="C76" s="195">
        <v>855</v>
      </c>
      <c r="D76" s="195">
        <v>59</v>
      </c>
      <c r="E76" s="195">
        <v>331</v>
      </c>
      <c r="F76" s="195">
        <v>1010</v>
      </c>
      <c r="G76" s="195">
        <v>294</v>
      </c>
      <c r="H76" s="195">
        <v>631</v>
      </c>
      <c r="I76" s="212">
        <f t="shared" si="32"/>
        <v>1.1462585034013606</v>
      </c>
      <c r="J76" s="194">
        <f t="shared" si="31"/>
        <v>337</v>
      </c>
      <c r="K76" s="196">
        <f t="shared" si="30"/>
        <v>1.7982238905585551E-4</v>
      </c>
    </row>
    <row r="77" spans="2:11" x14ac:dyDescent="0.25">
      <c r="B77" s="199" t="s">
        <v>147</v>
      </c>
      <c r="C77" s="200">
        <f t="shared" ref="C77" si="33">C69-SUM(C70:C76)</f>
        <v>4954</v>
      </c>
      <c r="D77" s="200">
        <f t="shared" ref="D77:H77" si="34">D69-SUM(D70:D76)</f>
        <v>6868</v>
      </c>
      <c r="E77" s="200">
        <f t="shared" si="34"/>
        <v>24894</v>
      </c>
      <c r="F77" s="200">
        <f t="shared" si="34"/>
        <v>37093</v>
      </c>
      <c r="G77" s="200">
        <f t="shared" si="34"/>
        <v>42034</v>
      </c>
      <c r="H77" s="200">
        <f t="shared" si="34"/>
        <v>29073</v>
      </c>
      <c r="I77" s="213">
        <f t="shared" si="32"/>
        <v>-0.30834562497026219</v>
      </c>
      <c r="J77" s="199">
        <f>H77-G77</f>
        <v>-12961</v>
      </c>
      <c r="K77" s="201">
        <f t="shared" si="30"/>
        <v>8.2852239572438792E-3</v>
      </c>
    </row>
    <row r="78" spans="2:11" x14ac:dyDescent="0.25">
      <c r="B78" s="186" t="s">
        <v>50</v>
      </c>
      <c r="C78" s="184"/>
      <c r="D78" s="184"/>
      <c r="E78" s="184"/>
      <c r="F78" s="184"/>
      <c r="G78" s="184"/>
      <c r="H78" s="184"/>
      <c r="I78" s="185"/>
      <c r="J78" s="185"/>
      <c r="K78" s="184"/>
    </row>
    <row r="79" spans="2:11" x14ac:dyDescent="0.25">
      <c r="B79" s="187" t="s">
        <v>70</v>
      </c>
      <c r="C79" s="209">
        <f t="shared" ref="C79:H79" si="35">C80+C83</f>
        <v>158448</v>
      </c>
      <c r="D79" s="209">
        <f t="shared" si="35"/>
        <v>210744</v>
      </c>
      <c r="E79" s="209">
        <f t="shared" si="35"/>
        <v>474438</v>
      </c>
      <c r="F79" s="209">
        <f t="shared" si="35"/>
        <v>546108</v>
      </c>
      <c r="G79" s="209">
        <f t="shared" si="35"/>
        <v>623726</v>
      </c>
      <c r="H79" s="209">
        <f t="shared" si="35"/>
        <v>630262</v>
      </c>
      <c r="I79" s="210">
        <f>IFERROR(H79/G79-1,"-")</f>
        <v>1.0478960312701346E-2</v>
      </c>
      <c r="J79" s="209">
        <f>H79-G79</f>
        <v>6536</v>
      </c>
      <c r="K79" s="210">
        <f t="shared" ref="K79:K91" si="36">H79/H$9</f>
        <v>0.17961207380526403</v>
      </c>
    </row>
    <row r="80" spans="2:11" x14ac:dyDescent="0.25">
      <c r="B80" s="190" t="s">
        <v>99</v>
      </c>
      <c r="C80" s="191">
        <v>71318</v>
      </c>
      <c r="D80" s="191">
        <v>121665</v>
      </c>
      <c r="E80" s="191">
        <v>241565</v>
      </c>
      <c r="F80" s="191">
        <v>247252</v>
      </c>
      <c r="G80" s="191">
        <v>261668</v>
      </c>
      <c r="H80" s="191">
        <v>271194</v>
      </c>
      <c r="I80" s="211">
        <f>IFERROR(H80/G80-1,"-")</f>
        <v>3.6404910038674965E-2</v>
      </c>
      <c r="J80" s="190">
        <f t="shared" ref="J80:J90" si="37">H80-G80</f>
        <v>9526</v>
      </c>
      <c r="K80" s="192">
        <f t="shared" si="36"/>
        <v>7.7284870012066048E-2</v>
      </c>
    </row>
    <row r="81" spans="2:11" x14ac:dyDescent="0.25">
      <c r="B81" s="194" t="s">
        <v>105</v>
      </c>
      <c r="C81" s="195">
        <v>15674</v>
      </c>
      <c r="D81" s="195">
        <v>40341</v>
      </c>
      <c r="E81" s="195">
        <v>58745</v>
      </c>
      <c r="F81" s="195">
        <v>53278</v>
      </c>
      <c r="G81" s="195">
        <v>63808</v>
      </c>
      <c r="H81" s="195">
        <v>63283</v>
      </c>
      <c r="I81" s="212">
        <f>IFERROR(H81/G81-1,"-")</f>
        <v>-8.2278084252758177E-3</v>
      </c>
      <c r="J81" s="194">
        <f t="shared" si="37"/>
        <v>-525</v>
      </c>
      <c r="K81" s="196">
        <f t="shared" si="36"/>
        <v>1.8034390248211893E-2</v>
      </c>
    </row>
    <row r="82" spans="2:11" x14ac:dyDescent="0.25">
      <c r="B82" s="194" t="s">
        <v>102</v>
      </c>
      <c r="C82" s="195">
        <v>55644</v>
      </c>
      <c r="D82" s="195">
        <v>81324</v>
      </c>
      <c r="E82" s="195">
        <v>182820</v>
      </c>
      <c r="F82" s="195">
        <v>193974</v>
      </c>
      <c r="G82" s="195">
        <v>197860</v>
      </c>
      <c r="H82" s="195">
        <v>207911</v>
      </c>
      <c r="I82" s="212">
        <f>IFERROR(H82/G82-1,"-")</f>
        <v>5.0798544425351366E-2</v>
      </c>
      <c r="J82" s="194">
        <f t="shared" si="37"/>
        <v>10051</v>
      </c>
      <c r="K82" s="196">
        <f t="shared" si="36"/>
        <v>5.9250479763854162E-2</v>
      </c>
    </row>
    <row r="83" spans="2:11" x14ac:dyDescent="0.25">
      <c r="B83" s="190" t="s">
        <v>109</v>
      </c>
      <c r="C83" s="191">
        <v>87130</v>
      </c>
      <c r="D83" s="191">
        <v>89079</v>
      </c>
      <c r="E83" s="191">
        <v>232873</v>
      </c>
      <c r="F83" s="191">
        <v>298856</v>
      </c>
      <c r="G83" s="191">
        <v>362058</v>
      </c>
      <c r="H83" s="191">
        <v>359068</v>
      </c>
      <c r="I83" s="211">
        <f>IFERROR(H83/G83-1,"-")</f>
        <v>-8.258345347982865E-3</v>
      </c>
      <c r="J83" s="190">
        <f t="shared" si="37"/>
        <v>-2990</v>
      </c>
      <c r="K83" s="192">
        <f t="shared" si="36"/>
        <v>0.10232720379319798</v>
      </c>
    </row>
    <row r="84" spans="2:11" x14ac:dyDescent="0.25">
      <c r="B84" s="194" t="s">
        <v>112</v>
      </c>
      <c r="C84" s="195">
        <v>16702</v>
      </c>
      <c r="D84" s="195">
        <v>9093</v>
      </c>
      <c r="E84" s="195">
        <v>50190</v>
      </c>
      <c r="F84" s="195">
        <v>66769</v>
      </c>
      <c r="G84" s="195">
        <v>80259</v>
      </c>
      <c r="H84" s="195">
        <v>85969</v>
      </c>
      <c r="I84" s="212">
        <f t="shared" ref="I84:I91" si="38">IFERROR(H84/G84-1,"-")</f>
        <v>7.1144669133679672E-2</v>
      </c>
      <c r="J84" s="194">
        <f t="shared" si="37"/>
        <v>5710</v>
      </c>
      <c r="K84" s="196">
        <f t="shared" si="36"/>
        <v>2.4499446853792142E-2</v>
      </c>
    </row>
    <row r="85" spans="2:11" x14ac:dyDescent="0.25">
      <c r="B85" s="194" t="s">
        <v>115</v>
      </c>
      <c r="C85" s="195">
        <v>30438</v>
      </c>
      <c r="D85" s="195">
        <v>24705</v>
      </c>
      <c r="E85" s="195">
        <v>74314</v>
      </c>
      <c r="F85" s="195">
        <v>86906</v>
      </c>
      <c r="G85" s="195">
        <v>96971</v>
      </c>
      <c r="H85" s="195">
        <v>93855</v>
      </c>
      <c r="I85" s="212">
        <f t="shared" si="38"/>
        <v>-3.2133318208536599E-2</v>
      </c>
      <c r="J85" s="194">
        <f t="shared" si="37"/>
        <v>-3116</v>
      </c>
      <c r="K85" s="196">
        <f t="shared" si="36"/>
        <v>2.6746799246968812E-2</v>
      </c>
    </row>
    <row r="86" spans="2:11" x14ac:dyDescent="0.25">
      <c r="B86" s="194" t="s">
        <v>118</v>
      </c>
      <c r="C86" s="195">
        <v>6394</v>
      </c>
      <c r="D86" s="195">
        <v>12319</v>
      </c>
      <c r="E86" s="195">
        <v>21266</v>
      </c>
      <c r="F86" s="195">
        <v>31345</v>
      </c>
      <c r="G86" s="195">
        <v>45031</v>
      </c>
      <c r="H86" s="195">
        <v>40608</v>
      </c>
      <c r="I86" s="212">
        <f t="shared" si="38"/>
        <v>-9.8221225378072874E-2</v>
      </c>
      <c r="J86" s="194">
        <f t="shared" si="37"/>
        <v>-4423</v>
      </c>
      <c r="K86" s="196">
        <f t="shared" si="36"/>
        <v>1.1572468422789509E-2</v>
      </c>
    </row>
    <row r="87" spans="2:11" x14ac:dyDescent="0.25">
      <c r="B87" s="194" t="s">
        <v>125</v>
      </c>
      <c r="C87" s="195">
        <v>1378</v>
      </c>
      <c r="D87" s="195">
        <v>2482</v>
      </c>
      <c r="E87" s="195">
        <v>4404</v>
      </c>
      <c r="F87" s="195">
        <v>5923</v>
      </c>
      <c r="G87" s="195">
        <v>10603</v>
      </c>
      <c r="H87" s="195">
        <v>10699</v>
      </c>
      <c r="I87" s="212">
        <f t="shared" si="38"/>
        <v>9.0540413090633987E-3</v>
      </c>
      <c r="J87" s="194">
        <f t="shared" si="37"/>
        <v>96</v>
      </c>
      <c r="K87" s="196">
        <f t="shared" si="36"/>
        <v>3.0490011735476992E-3</v>
      </c>
    </row>
    <row r="88" spans="2:11" x14ac:dyDescent="0.25">
      <c r="B88" s="194" t="s">
        <v>121</v>
      </c>
      <c r="C88" s="195">
        <v>1711</v>
      </c>
      <c r="D88" s="195">
        <v>3157</v>
      </c>
      <c r="E88" s="195">
        <v>4021</v>
      </c>
      <c r="F88" s="195">
        <v>5226</v>
      </c>
      <c r="G88" s="195">
        <v>6583</v>
      </c>
      <c r="H88" s="195">
        <v>6936</v>
      </c>
      <c r="I88" s="212">
        <f t="shared" si="38"/>
        <v>5.3622968251556991E-2</v>
      </c>
      <c r="J88" s="194">
        <f t="shared" si="37"/>
        <v>353</v>
      </c>
      <c r="K88" s="196">
        <f t="shared" si="36"/>
        <v>1.9766213795426525E-3</v>
      </c>
    </row>
    <row r="89" spans="2:11" x14ac:dyDescent="0.25">
      <c r="B89" s="194" t="s">
        <v>130</v>
      </c>
      <c r="C89" s="195">
        <v>1700</v>
      </c>
      <c r="D89" s="195">
        <v>443</v>
      </c>
      <c r="E89" s="195">
        <v>2248</v>
      </c>
      <c r="F89" s="195">
        <v>2813</v>
      </c>
      <c r="G89" s="195">
        <v>2776</v>
      </c>
      <c r="H89" s="195">
        <v>2906</v>
      </c>
      <c r="I89" s="212">
        <f t="shared" si="38"/>
        <v>4.6829971181556296E-2</v>
      </c>
      <c r="J89" s="194">
        <f t="shared" si="37"/>
        <v>130</v>
      </c>
      <c r="K89" s="196">
        <f t="shared" si="36"/>
        <v>8.2815192170573079E-4</v>
      </c>
    </row>
    <row r="90" spans="2:11" x14ac:dyDescent="0.25">
      <c r="B90" s="194" t="s">
        <v>133</v>
      </c>
      <c r="C90" s="195">
        <v>2305</v>
      </c>
      <c r="D90" s="195">
        <v>456</v>
      </c>
      <c r="E90" s="195">
        <v>2283</v>
      </c>
      <c r="F90" s="195">
        <v>3032</v>
      </c>
      <c r="G90" s="195">
        <v>3380</v>
      </c>
      <c r="H90" s="195">
        <v>2374</v>
      </c>
      <c r="I90" s="212">
        <f t="shared" si="38"/>
        <v>-0.29763313609467457</v>
      </c>
      <c r="J90" s="194">
        <f t="shared" si="37"/>
        <v>-1006</v>
      </c>
      <c r="K90" s="196">
        <f t="shared" si="36"/>
        <v>6.7654255407068303E-4</v>
      </c>
    </row>
    <row r="91" spans="2:11" x14ac:dyDescent="0.25">
      <c r="B91" s="199" t="s">
        <v>147</v>
      </c>
      <c r="C91" s="200">
        <f t="shared" ref="C91" si="39">C83-SUM(C84:C90)</f>
        <v>26502</v>
      </c>
      <c r="D91" s="200">
        <f t="shared" ref="D91:H91" si="40">D83-SUM(D84:D90)</f>
        <v>36424</v>
      </c>
      <c r="E91" s="200">
        <f t="shared" si="40"/>
        <v>74147</v>
      </c>
      <c r="F91" s="200">
        <f t="shared" si="40"/>
        <v>96842</v>
      </c>
      <c r="G91" s="200">
        <f t="shared" si="40"/>
        <v>116455</v>
      </c>
      <c r="H91" s="200">
        <f t="shared" si="40"/>
        <v>115721</v>
      </c>
      <c r="I91" s="213">
        <f t="shared" si="38"/>
        <v>-6.3028637671203036E-3</v>
      </c>
      <c r="J91" s="199">
        <f>H91-G91</f>
        <v>-734</v>
      </c>
      <c r="K91" s="201">
        <f t="shared" si="36"/>
        <v>3.2978172240780756E-2</v>
      </c>
    </row>
    <row r="92" spans="2:11" x14ac:dyDescent="0.25">
      <c r="B92" s="186" t="s">
        <v>51</v>
      </c>
      <c r="C92" s="184"/>
      <c r="D92" s="184"/>
      <c r="E92" s="184"/>
      <c r="F92" s="184"/>
      <c r="G92" s="184"/>
      <c r="H92" s="184"/>
      <c r="I92" s="185"/>
      <c r="J92" s="185"/>
      <c r="K92" s="184"/>
    </row>
    <row r="93" spans="2:11" x14ac:dyDescent="0.25">
      <c r="B93" s="187" t="s">
        <v>70</v>
      </c>
      <c r="C93" s="209">
        <f t="shared" ref="C93:H93" si="41">C94+C97</f>
        <v>19059</v>
      </c>
      <c r="D93" s="209">
        <f t="shared" si="41"/>
        <v>24453</v>
      </c>
      <c r="E93" s="209">
        <f t="shared" si="41"/>
        <v>41481</v>
      </c>
      <c r="F93" s="209">
        <f t="shared" si="41"/>
        <v>48608</v>
      </c>
      <c r="G93" s="209">
        <f t="shared" si="41"/>
        <v>46696</v>
      </c>
      <c r="H93" s="209">
        <f t="shared" si="41"/>
        <v>46403</v>
      </c>
      <c r="I93" s="210">
        <f>IFERROR(H93/G93-1,"-")</f>
        <v>-6.2746273770772909E-3</v>
      </c>
      <c r="J93" s="209">
        <f>H93-G93</f>
        <v>-293</v>
      </c>
      <c r="K93" s="210">
        <f t="shared" ref="K93:K105" si="42">H93/H$9</f>
        <v>1.3223927605956995E-2</v>
      </c>
    </row>
    <row r="94" spans="2:11" x14ac:dyDescent="0.25">
      <c r="B94" s="190" t="s">
        <v>99</v>
      </c>
      <c r="C94" s="191">
        <v>12382</v>
      </c>
      <c r="D94" s="191">
        <v>16085</v>
      </c>
      <c r="E94" s="191">
        <v>27294</v>
      </c>
      <c r="F94" s="191">
        <v>32685</v>
      </c>
      <c r="G94" s="191">
        <v>29315</v>
      </c>
      <c r="H94" s="191">
        <v>29490</v>
      </c>
      <c r="I94" s="211">
        <f>IFERROR(H94/G94-1,"-")</f>
        <v>5.969640115981667E-3</v>
      </c>
      <c r="J94" s="190">
        <f t="shared" ref="J94:J104" si="43">H94-G94</f>
        <v>175</v>
      </c>
      <c r="K94" s="192">
        <f t="shared" si="42"/>
        <v>8.4040606232284928E-3</v>
      </c>
    </row>
    <row r="95" spans="2:11" x14ac:dyDescent="0.25">
      <c r="B95" s="194" t="s">
        <v>105</v>
      </c>
      <c r="C95" s="195">
        <v>6489</v>
      </c>
      <c r="D95" s="195">
        <v>8211</v>
      </c>
      <c r="E95" s="195">
        <v>12915</v>
      </c>
      <c r="F95" s="195">
        <v>10196</v>
      </c>
      <c r="G95" s="195">
        <v>9167</v>
      </c>
      <c r="H95" s="195">
        <v>10910</v>
      </c>
      <c r="I95" s="212">
        <f>IFERROR(H95/G95-1,"-")</f>
        <v>0.19013854041671219</v>
      </c>
      <c r="J95" s="194">
        <f t="shared" si="43"/>
        <v>1743</v>
      </c>
      <c r="K95" s="196">
        <f t="shared" si="42"/>
        <v>3.1091319565758851E-3</v>
      </c>
    </row>
    <row r="96" spans="2:11" x14ac:dyDescent="0.25">
      <c r="B96" s="194" t="s">
        <v>102</v>
      </c>
      <c r="C96" s="195">
        <v>5893</v>
      </c>
      <c r="D96" s="195">
        <v>7874</v>
      </c>
      <c r="E96" s="195">
        <v>14379</v>
      </c>
      <c r="F96" s="195">
        <v>22489</v>
      </c>
      <c r="G96" s="195">
        <v>20148</v>
      </c>
      <c r="H96" s="195">
        <v>18580</v>
      </c>
      <c r="I96" s="212">
        <f>IFERROR(H96/G96-1,"-")</f>
        <v>-7.7824101647806287E-2</v>
      </c>
      <c r="J96" s="194">
        <f t="shared" si="43"/>
        <v>-1568</v>
      </c>
      <c r="K96" s="196">
        <f t="shared" si="42"/>
        <v>5.2949286666526081E-3</v>
      </c>
    </row>
    <row r="97" spans="2:11" x14ac:dyDescent="0.25">
      <c r="B97" s="190" t="s">
        <v>109</v>
      </c>
      <c r="C97" s="191">
        <v>6677</v>
      </c>
      <c r="D97" s="191">
        <v>8368</v>
      </c>
      <c r="E97" s="191">
        <v>14187</v>
      </c>
      <c r="F97" s="191">
        <v>15923</v>
      </c>
      <c r="G97" s="191">
        <v>17381</v>
      </c>
      <c r="H97" s="191">
        <v>16913</v>
      </c>
      <c r="I97" s="211">
        <f>IFERROR(H97/G97-1,"-")</f>
        <v>-2.6925953627524257E-2</v>
      </c>
      <c r="J97" s="190">
        <f t="shared" si="43"/>
        <v>-468</v>
      </c>
      <c r="K97" s="192">
        <f t="shared" si="42"/>
        <v>4.8198669827285009E-3</v>
      </c>
    </row>
    <row r="98" spans="2:11" x14ac:dyDescent="0.25">
      <c r="B98" s="194" t="s">
        <v>112</v>
      </c>
      <c r="C98" s="195">
        <v>1092</v>
      </c>
      <c r="D98" s="195">
        <v>509</v>
      </c>
      <c r="E98" s="195">
        <v>1836</v>
      </c>
      <c r="F98" s="195">
        <v>2198</v>
      </c>
      <c r="G98" s="195">
        <v>2450</v>
      </c>
      <c r="H98" s="195">
        <v>2046</v>
      </c>
      <c r="I98" s="212">
        <f t="shared" ref="I98:I105" si="44">IFERROR(H98/G98-1,"-")</f>
        <v>-0.16489795918367345</v>
      </c>
      <c r="J98" s="194">
        <f t="shared" si="43"/>
        <v>-404</v>
      </c>
      <c r="K98" s="196">
        <f t="shared" si="42"/>
        <v>5.8306910936336035E-4</v>
      </c>
    </row>
    <row r="99" spans="2:11" x14ac:dyDescent="0.25">
      <c r="B99" s="194" t="s">
        <v>115</v>
      </c>
      <c r="C99" s="195">
        <v>1239</v>
      </c>
      <c r="D99" s="195">
        <v>1578</v>
      </c>
      <c r="E99" s="195">
        <v>2714</v>
      </c>
      <c r="F99" s="195">
        <v>2893</v>
      </c>
      <c r="G99" s="195">
        <v>3315</v>
      </c>
      <c r="H99" s="195">
        <v>3003</v>
      </c>
      <c r="I99" s="212">
        <f t="shared" si="44"/>
        <v>-9.4117647058823528E-2</v>
      </c>
      <c r="J99" s="194">
        <f t="shared" si="43"/>
        <v>-312</v>
      </c>
      <c r="K99" s="196">
        <f t="shared" si="42"/>
        <v>8.5579498309783534E-4</v>
      </c>
    </row>
    <row r="100" spans="2:11" x14ac:dyDescent="0.25">
      <c r="B100" s="194" t="s">
        <v>118</v>
      </c>
      <c r="C100" s="195">
        <v>1648</v>
      </c>
      <c r="D100" s="195">
        <v>2867</v>
      </c>
      <c r="E100" s="195">
        <v>2766</v>
      </c>
      <c r="F100" s="195">
        <v>3129</v>
      </c>
      <c r="G100" s="195">
        <v>3038</v>
      </c>
      <c r="H100" s="195">
        <v>3024</v>
      </c>
      <c r="I100" s="212">
        <f t="shared" si="44"/>
        <v>-4.6082949308755561E-3</v>
      </c>
      <c r="J100" s="194">
        <f t="shared" si="43"/>
        <v>-14</v>
      </c>
      <c r="K100" s="196">
        <f t="shared" si="42"/>
        <v>8.6177956339921879E-4</v>
      </c>
    </row>
    <row r="101" spans="2:11" x14ac:dyDescent="0.25">
      <c r="B101" s="194" t="s">
        <v>125</v>
      </c>
      <c r="C101" s="195">
        <v>284</v>
      </c>
      <c r="D101" s="195">
        <v>208</v>
      </c>
      <c r="E101" s="195">
        <v>958</v>
      </c>
      <c r="F101" s="195">
        <v>711</v>
      </c>
      <c r="G101" s="195">
        <v>780</v>
      </c>
      <c r="H101" s="195">
        <v>720</v>
      </c>
      <c r="I101" s="212">
        <f t="shared" si="44"/>
        <v>-7.6923076923076872E-2</v>
      </c>
      <c r="J101" s="194">
        <f t="shared" si="43"/>
        <v>-60</v>
      </c>
      <c r="K101" s="196">
        <f t="shared" si="42"/>
        <v>2.0518561033314734E-4</v>
      </c>
    </row>
    <row r="102" spans="2:11" x14ac:dyDescent="0.25">
      <c r="B102" s="194" t="s">
        <v>121</v>
      </c>
      <c r="C102" s="195">
        <v>256</v>
      </c>
      <c r="D102" s="195">
        <v>334</v>
      </c>
      <c r="E102" s="195">
        <v>560</v>
      </c>
      <c r="F102" s="195">
        <v>466</v>
      </c>
      <c r="G102" s="195">
        <v>696</v>
      </c>
      <c r="H102" s="195">
        <v>670</v>
      </c>
      <c r="I102" s="212">
        <f t="shared" si="44"/>
        <v>-3.7356321839080442E-2</v>
      </c>
      <c r="J102" s="194">
        <f t="shared" si="43"/>
        <v>-26</v>
      </c>
      <c r="K102" s="196">
        <f t="shared" si="42"/>
        <v>1.9093660961556766E-4</v>
      </c>
    </row>
    <row r="103" spans="2:11" x14ac:dyDescent="0.25">
      <c r="B103" s="194" t="s">
        <v>130</v>
      </c>
      <c r="C103" s="195">
        <v>114</v>
      </c>
      <c r="D103" s="195">
        <v>51</v>
      </c>
      <c r="E103" s="195">
        <v>236</v>
      </c>
      <c r="F103" s="195">
        <v>112</v>
      </c>
      <c r="G103" s="195">
        <v>188</v>
      </c>
      <c r="H103" s="195">
        <v>161</v>
      </c>
      <c r="I103" s="212">
        <f t="shared" si="44"/>
        <v>-0.1436170212765957</v>
      </c>
      <c r="J103" s="194">
        <f t="shared" si="43"/>
        <v>-27</v>
      </c>
      <c r="K103" s="196">
        <f t="shared" si="42"/>
        <v>4.5881782310606557E-5</v>
      </c>
    </row>
    <row r="104" spans="2:11" x14ac:dyDescent="0.25">
      <c r="B104" s="194" t="s">
        <v>133</v>
      </c>
      <c r="C104" s="195">
        <v>70</v>
      </c>
      <c r="D104" s="195">
        <v>67</v>
      </c>
      <c r="E104" s="195">
        <v>125</v>
      </c>
      <c r="F104" s="195">
        <v>206</v>
      </c>
      <c r="G104" s="195">
        <v>308</v>
      </c>
      <c r="H104" s="195">
        <v>177</v>
      </c>
      <c r="I104" s="212">
        <f t="shared" si="44"/>
        <v>-0.42532467532467533</v>
      </c>
      <c r="J104" s="194">
        <f t="shared" si="43"/>
        <v>-131</v>
      </c>
      <c r="K104" s="196">
        <f t="shared" si="42"/>
        <v>5.0441462540232055E-5</v>
      </c>
    </row>
    <row r="105" spans="2:11" x14ac:dyDescent="0.25">
      <c r="B105" s="199" t="s">
        <v>147</v>
      </c>
      <c r="C105" s="200">
        <f t="shared" ref="C105" si="45">C97-SUM(C98:C104)</f>
        <v>1974</v>
      </c>
      <c r="D105" s="200">
        <f t="shared" ref="D105:H105" si="46">D97-SUM(D98:D104)</f>
        <v>2754</v>
      </c>
      <c r="E105" s="200">
        <f t="shared" si="46"/>
        <v>4992</v>
      </c>
      <c r="F105" s="200">
        <f t="shared" si="46"/>
        <v>6208</v>
      </c>
      <c r="G105" s="200">
        <f t="shared" si="46"/>
        <v>6606</v>
      </c>
      <c r="H105" s="200">
        <f t="shared" si="46"/>
        <v>7112</v>
      </c>
      <c r="I105" s="213">
        <f t="shared" si="44"/>
        <v>7.6597033000302739E-2</v>
      </c>
      <c r="J105" s="199">
        <f>H105-G105</f>
        <v>506</v>
      </c>
      <c r="K105" s="201">
        <f t="shared" si="42"/>
        <v>2.0267778620685333E-3</v>
      </c>
    </row>
    <row r="106" spans="2:11" x14ac:dyDescent="0.25">
      <c r="B106" s="186" t="s">
        <v>52</v>
      </c>
      <c r="C106" s="184"/>
      <c r="D106" s="184"/>
      <c r="E106" s="184"/>
      <c r="F106" s="184"/>
      <c r="G106" s="184"/>
      <c r="H106" s="184"/>
      <c r="I106" s="185"/>
      <c r="J106" s="185"/>
      <c r="K106" s="184"/>
    </row>
    <row r="107" spans="2:11" x14ac:dyDescent="0.25">
      <c r="B107" s="187" t="s">
        <v>70</v>
      </c>
      <c r="C107" s="209">
        <f t="shared" ref="C107:H107" si="47">C108+C111</f>
        <v>50483</v>
      </c>
      <c r="D107" s="209">
        <f t="shared" si="47"/>
        <v>73838</v>
      </c>
      <c r="E107" s="209">
        <f t="shared" si="47"/>
        <v>142029</v>
      </c>
      <c r="F107" s="209">
        <f t="shared" si="47"/>
        <v>186898</v>
      </c>
      <c r="G107" s="209">
        <f t="shared" si="47"/>
        <v>175551</v>
      </c>
      <c r="H107" s="209">
        <f t="shared" si="47"/>
        <v>184313</v>
      </c>
      <c r="I107" s="210">
        <f>IFERROR(H107/G107-1,"-")</f>
        <v>4.9911421752083518E-2</v>
      </c>
      <c r="J107" s="209">
        <f>H107-G107</f>
        <v>8762</v>
      </c>
      <c r="K107" s="210">
        <f t="shared" ref="K107:K119" si="48">H107/H$9</f>
        <v>5.2525521385185257E-2</v>
      </c>
    </row>
    <row r="108" spans="2:11" x14ac:dyDescent="0.25">
      <c r="B108" s="190" t="s">
        <v>99</v>
      </c>
      <c r="C108" s="191">
        <v>24639</v>
      </c>
      <c r="D108" s="191">
        <v>34632</v>
      </c>
      <c r="E108" s="191">
        <v>35155</v>
      </c>
      <c r="F108" s="191">
        <v>42777</v>
      </c>
      <c r="G108" s="191">
        <v>38573</v>
      </c>
      <c r="H108" s="191">
        <v>41587</v>
      </c>
      <c r="I108" s="211">
        <f>IFERROR(H108/G108-1,"-")</f>
        <v>7.8137557358774368E-2</v>
      </c>
      <c r="J108" s="190">
        <f t="shared" ref="J108:J118" si="49">H108-G108</f>
        <v>3014</v>
      </c>
      <c r="K108" s="192">
        <f t="shared" si="48"/>
        <v>1.185146385683972E-2</v>
      </c>
    </row>
    <row r="109" spans="2:11" x14ac:dyDescent="0.25">
      <c r="B109" s="194" t="s">
        <v>105</v>
      </c>
      <c r="C109" s="195">
        <v>1147</v>
      </c>
      <c r="D109" s="195">
        <v>17889</v>
      </c>
      <c r="E109" s="195">
        <v>9838</v>
      </c>
      <c r="F109" s="195">
        <v>13530</v>
      </c>
      <c r="G109" s="195">
        <v>11111</v>
      </c>
      <c r="H109" s="195">
        <v>14821</v>
      </c>
      <c r="I109" s="212">
        <f>IFERROR(H109/G109-1,"-")</f>
        <v>0.33390333903339031</v>
      </c>
      <c r="J109" s="194">
        <f t="shared" si="49"/>
        <v>3710</v>
      </c>
      <c r="K109" s="196">
        <f t="shared" si="48"/>
        <v>4.2236887927049674E-3</v>
      </c>
    </row>
    <row r="110" spans="2:11" x14ac:dyDescent="0.25">
      <c r="B110" s="194" t="s">
        <v>102</v>
      </c>
      <c r="C110" s="195">
        <v>23492</v>
      </c>
      <c r="D110" s="195">
        <v>16743</v>
      </c>
      <c r="E110" s="195">
        <v>25317</v>
      </c>
      <c r="F110" s="195">
        <v>29247</v>
      </c>
      <c r="G110" s="195">
        <v>27462</v>
      </c>
      <c r="H110" s="195">
        <v>26766</v>
      </c>
      <c r="I110" s="212">
        <f>IFERROR(H110/G110-1,"-")</f>
        <v>-2.5344111863666141E-2</v>
      </c>
      <c r="J110" s="194">
        <f t="shared" si="49"/>
        <v>-696</v>
      </c>
      <c r="K110" s="196">
        <f t="shared" si="48"/>
        <v>7.627775064134752E-3</v>
      </c>
    </row>
    <row r="111" spans="2:11" x14ac:dyDescent="0.25">
      <c r="B111" s="190" t="s">
        <v>109</v>
      </c>
      <c r="C111" s="191">
        <v>25844</v>
      </c>
      <c r="D111" s="191">
        <v>39206</v>
      </c>
      <c r="E111" s="191">
        <v>106874</v>
      </c>
      <c r="F111" s="191">
        <v>144121</v>
      </c>
      <c r="G111" s="191">
        <v>136978</v>
      </c>
      <c r="H111" s="191">
        <v>142726</v>
      </c>
      <c r="I111" s="211">
        <f>IFERROR(H111/G111-1,"-")</f>
        <v>4.1962942954343108E-2</v>
      </c>
      <c r="J111" s="190">
        <f t="shared" si="49"/>
        <v>5748</v>
      </c>
      <c r="K111" s="192">
        <f t="shared" si="48"/>
        <v>4.0674057528345541E-2</v>
      </c>
    </row>
    <row r="112" spans="2:11" x14ac:dyDescent="0.25">
      <c r="B112" s="194" t="s">
        <v>112</v>
      </c>
      <c r="C112" s="195">
        <v>12927</v>
      </c>
      <c r="D112" s="195">
        <v>14924</v>
      </c>
      <c r="E112" s="195">
        <v>65016</v>
      </c>
      <c r="F112" s="195">
        <v>96402</v>
      </c>
      <c r="G112" s="195">
        <v>85963</v>
      </c>
      <c r="H112" s="195">
        <v>87643</v>
      </c>
      <c r="I112" s="212">
        <f t="shared" ref="I112:I119" si="50">IFERROR(H112/G112-1,"-")</f>
        <v>1.9543291881390923E-2</v>
      </c>
      <c r="J112" s="194">
        <f t="shared" si="49"/>
        <v>1680</v>
      </c>
      <c r="K112" s="196">
        <f t="shared" si="48"/>
        <v>2.4976503397816711E-2</v>
      </c>
    </row>
    <row r="113" spans="2:11" x14ac:dyDescent="0.25">
      <c r="B113" s="194" t="s">
        <v>115</v>
      </c>
      <c r="C113" s="195">
        <v>1947</v>
      </c>
      <c r="D113" s="195">
        <v>5414</v>
      </c>
      <c r="E113" s="195">
        <v>4475</v>
      </c>
      <c r="F113" s="195">
        <v>5824</v>
      </c>
      <c r="G113" s="195">
        <v>5696</v>
      </c>
      <c r="H113" s="195">
        <v>6480</v>
      </c>
      <c r="I113" s="212">
        <f t="shared" si="50"/>
        <v>0.13764044943820219</v>
      </c>
      <c r="J113" s="194">
        <f t="shared" si="49"/>
        <v>784</v>
      </c>
      <c r="K113" s="196">
        <f t="shared" si="48"/>
        <v>1.8466704929983261E-3</v>
      </c>
    </row>
    <row r="114" spans="2:11" x14ac:dyDescent="0.25">
      <c r="B114" s="194" t="s">
        <v>118</v>
      </c>
      <c r="C114" s="195">
        <v>1655</v>
      </c>
      <c r="D114" s="195">
        <v>4920</v>
      </c>
      <c r="E114" s="195">
        <v>7171</v>
      </c>
      <c r="F114" s="195">
        <v>10604</v>
      </c>
      <c r="G114" s="195">
        <v>10822</v>
      </c>
      <c r="H114" s="195">
        <v>12023</v>
      </c>
      <c r="I114" s="212">
        <f t="shared" si="50"/>
        <v>0.11097763814452044</v>
      </c>
      <c r="J114" s="194">
        <f t="shared" si="49"/>
        <v>1201</v>
      </c>
      <c r="K114" s="196">
        <f t="shared" si="48"/>
        <v>3.4263147125492091E-3</v>
      </c>
    </row>
    <row r="115" spans="2:11" x14ac:dyDescent="0.25">
      <c r="B115" s="194" t="s">
        <v>125</v>
      </c>
      <c r="C115" s="195">
        <v>939</v>
      </c>
      <c r="D115" s="195">
        <v>2650</v>
      </c>
      <c r="E115" s="195">
        <v>4742</v>
      </c>
      <c r="F115" s="195">
        <v>4787</v>
      </c>
      <c r="G115" s="195">
        <v>4724</v>
      </c>
      <c r="H115" s="195">
        <v>5054</v>
      </c>
      <c r="I115" s="212">
        <f t="shared" si="50"/>
        <v>6.9856054191363315E-2</v>
      </c>
      <c r="J115" s="194">
        <f t="shared" si="49"/>
        <v>330</v>
      </c>
      <c r="K115" s="196">
        <f t="shared" si="48"/>
        <v>1.4402889925329537E-3</v>
      </c>
    </row>
    <row r="116" spans="2:11" x14ac:dyDescent="0.25">
      <c r="B116" s="194" t="s">
        <v>121</v>
      </c>
      <c r="C116" s="195">
        <v>2434</v>
      </c>
      <c r="D116" s="195">
        <v>3166</v>
      </c>
      <c r="E116" s="195">
        <v>3767</v>
      </c>
      <c r="F116" s="195">
        <v>4010</v>
      </c>
      <c r="G116" s="195">
        <v>3847</v>
      </c>
      <c r="H116" s="195">
        <v>3672</v>
      </c>
      <c r="I116" s="212">
        <f t="shared" si="50"/>
        <v>-4.5489992201715568E-2</v>
      </c>
      <c r="J116" s="194">
        <f t="shared" si="49"/>
        <v>-175</v>
      </c>
      <c r="K116" s="196">
        <f t="shared" si="48"/>
        <v>1.0464466126990514E-3</v>
      </c>
    </row>
    <row r="117" spans="2:11" x14ac:dyDescent="0.25">
      <c r="B117" s="194" t="s">
        <v>130</v>
      </c>
      <c r="C117" s="195">
        <v>223</v>
      </c>
      <c r="D117" s="195">
        <v>112</v>
      </c>
      <c r="E117" s="195">
        <v>839</v>
      </c>
      <c r="F117" s="195">
        <v>884</v>
      </c>
      <c r="G117" s="195">
        <v>877</v>
      </c>
      <c r="H117" s="195">
        <v>907</v>
      </c>
      <c r="I117" s="212">
        <f t="shared" si="50"/>
        <v>3.4207525655644222E-2</v>
      </c>
      <c r="J117" s="194">
        <f t="shared" si="49"/>
        <v>30</v>
      </c>
      <c r="K117" s="196">
        <f t="shared" si="48"/>
        <v>2.5847687301689532E-4</v>
      </c>
    </row>
    <row r="118" spans="2:11" x14ac:dyDescent="0.25">
      <c r="B118" s="194" t="s">
        <v>133</v>
      </c>
      <c r="C118" s="195">
        <v>542</v>
      </c>
      <c r="D118" s="195">
        <v>82</v>
      </c>
      <c r="E118" s="195">
        <v>689</v>
      </c>
      <c r="F118" s="195">
        <v>435</v>
      </c>
      <c r="G118" s="195">
        <v>1083</v>
      </c>
      <c r="H118" s="195">
        <v>727</v>
      </c>
      <c r="I118" s="212">
        <f t="shared" si="50"/>
        <v>-0.32871652816251151</v>
      </c>
      <c r="J118" s="194">
        <f t="shared" si="49"/>
        <v>-356</v>
      </c>
      <c r="K118" s="196">
        <f t="shared" si="48"/>
        <v>2.071804704336085E-4</v>
      </c>
    </row>
    <row r="119" spans="2:11" x14ac:dyDescent="0.25">
      <c r="B119" s="199" t="s">
        <v>147</v>
      </c>
      <c r="C119" s="200">
        <f t="shared" ref="C119" si="51">C111-SUM(C112:C118)</f>
        <v>5177</v>
      </c>
      <c r="D119" s="200">
        <f t="shared" ref="D119:H119" si="52">D111-SUM(D112:D118)</f>
        <v>7938</v>
      </c>
      <c r="E119" s="200">
        <f t="shared" si="52"/>
        <v>20175</v>
      </c>
      <c r="F119" s="200">
        <f t="shared" si="52"/>
        <v>21175</v>
      </c>
      <c r="G119" s="200">
        <f t="shared" si="52"/>
        <v>23966</v>
      </c>
      <c r="H119" s="200">
        <f t="shared" si="52"/>
        <v>26220</v>
      </c>
      <c r="I119" s="213">
        <f t="shared" si="50"/>
        <v>9.4049904030710119E-2</v>
      </c>
      <c r="J119" s="199">
        <f>H119-G119</f>
        <v>2254</v>
      </c>
      <c r="K119" s="201">
        <f t="shared" si="48"/>
        <v>7.4721759762987824E-3</v>
      </c>
    </row>
    <row r="120" spans="2:11" x14ac:dyDescent="0.25">
      <c r="B120" s="186" t="s">
        <v>53</v>
      </c>
      <c r="C120" s="184"/>
      <c r="D120" s="184"/>
      <c r="E120" s="184"/>
      <c r="F120" s="184"/>
      <c r="G120" s="184"/>
      <c r="H120" s="184"/>
      <c r="I120" s="185"/>
      <c r="J120" s="185"/>
      <c r="K120" s="184"/>
    </row>
    <row r="121" spans="2:11" x14ac:dyDescent="0.25">
      <c r="B121" s="187" t="s">
        <v>70</v>
      </c>
      <c r="C121" s="209">
        <f t="shared" ref="C121:H121" si="53">C122+C125</f>
        <v>76350</v>
      </c>
      <c r="D121" s="209">
        <f t="shared" si="53"/>
        <v>123320</v>
      </c>
      <c r="E121" s="209">
        <f t="shared" si="53"/>
        <v>179915</v>
      </c>
      <c r="F121" s="209">
        <f t="shared" si="53"/>
        <v>194865</v>
      </c>
      <c r="G121" s="209">
        <f t="shared" si="53"/>
        <v>201157</v>
      </c>
      <c r="H121" s="209">
        <f t="shared" si="53"/>
        <v>227882</v>
      </c>
      <c r="I121" s="210">
        <f>IFERROR(H121/G121-1,"-")</f>
        <v>0.13285642557803112</v>
      </c>
      <c r="J121" s="209">
        <f>H121-G121</f>
        <v>26725</v>
      </c>
      <c r="K121" s="210">
        <f t="shared" ref="K121:K133" si="54">H121/H$9</f>
        <v>6.4941815630469829E-2</v>
      </c>
    </row>
    <row r="122" spans="2:11" x14ac:dyDescent="0.25">
      <c r="B122" s="190" t="s">
        <v>99</v>
      </c>
      <c r="C122" s="191">
        <v>43048</v>
      </c>
      <c r="D122" s="191">
        <v>81482</v>
      </c>
      <c r="E122" s="191">
        <v>110405</v>
      </c>
      <c r="F122" s="191">
        <v>122286</v>
      </c>
      <c r="G122" s="191">
        <v>128586</v>
      </c>
      <c r="H122" s="191">
        <v>148985</v>
      </c>
      <c r="I122" s="211">
        <f>IFERROR(H122/G122-1,"-")</f>
        <v>0.15864090958580257</v>
      </c>
      <c r="J122" s="190">
        <f t="shared" ref="J122:J132" si="55">H122-G122</f>
        <v>20399</v>
      </c>
      <c r="K122" s="192">
        <f t="shared" si="54"/>
        <v>4.2457747438172162E-2</v>
      </c>
    </row>
    <row r="123" spans="2:11" x14ac:dyDescent="0.25">
      <c r="B123" s="194" t="s">
        <v>105</v>
      </c>
      <c r="C123" s="195">
        <v>19485</v>
      </c>
      <c r="D123" s="195">
        <v>41503</v>
      </c>
      <c r="E123" s="195">
        <v>57305</v>
      </c>
      <c r="F123" s="195">
        <v>55716</v>
      </c>
      <c r="G123" s="195">
        <v>62457</v>
      </c>
      <c r="H123" s="195">
        <v>78684</v>
      </c>
      <c r="I123" s="212">
        <f>IFERROR(H123/G123-1,"-")</f>
        <v>0.2598107497958595</v>
      </c>
      <c r="J123" s="194">
        <f t="shared" si="55"/>
        <v>16227</v>
      </c>
      <c r="K123" s="196">
        <f t="shared" si="54"/>
        <v>2.2423367449240783E-2</v>
      </c>
    </row>
    <row r="124" spans="2:11" x14ac:dyDescent="0.25">
      <c r="B124" s="194" t="s">
        <v>102</v>
      </c>
      <c r="C124" s="195">
        <v>23563</v>
      </c>
      <c r="D124" s="195">
        <v>39979</v>
      </c>
      <c r="E124" s="195">
        <v>53100</v>
      </c>
      <c r="F124" s="195">
        <v>66570</v>
      </c>
      <c r="G124" s="195">
        <v>66129</v>
      </c>
      <c r="H124" s="195">
        <v>70301</v>
      </c>
      <c r="I124" s="212">
        <f>IFERROR(H124/G124-1,"-")</f>
        <v>6.3088811262834721E-2</v>
      </c>
      <c r="J124" s="194">
        <f t="shared" si="55"/>
        <v>4172</v>
      </c>
      <c r="K124" s="196">
        <f t="shared" si="54"/>
        <v>2.0034379988931376E-2</v>
      </c>
    </row>
    <row r="125" spans="2:11" x14ac:dyDescent="0.25">
      <c r="B125" s="190" t="s">
        <v>109</v>
      </c>
      <c r="C125" s="191">
        <v>33302</v>
      </c>
      <c r="D125" s="191">
        <v>41838</v>
      </c>
      <c r="E125" s="191">
        <v>69510</v>
      </c>
      <c r="F125" s="191">
        <v>72579</v>
      </c>
      <c r="G125" s="191">
        <v>72571</v>
      </c>
      <c r="H125" s="191">
        <v>78897</v>
      </c>
      <c r="I125" s="211">
        <f>IFERROR(H125/G125-1,"-")</f>
        <v>8.7169806120902305E-2</v>
      </c>
      <c r="J125" s="190">
        <f t="shared" si="55"/>
        <v>6326</v>
      </c>
      <c r="K125" s="192">
        <f t="shared" si="54"/>
        <v>2.2484068192297674E-2</v>
      </c>
    </row>
    <row r="126" spans="2:11" x14ac:dyDescent="0.25">
      <c r="B126" s="194" t="s">
        <v>112</v>
      </c>
      <c r="C126" s="195">
        <v>3167</v>
      </c>
      <c r="D126" s="195">
        <v>1935</v>
      </c>
      <c r="E126" s="195">
        <v>7687</v>
      </c>
      <c r="F126" s="195">
        <v>9446</v>
      </c>
      <c r="G126" s="195">
        <v>8418</v>
      </c>
      <c r="H126" s="195">
        <v>8188</v>
      </c>
      <c r="I126" s="212">
        <f t="shared" ref="I126:I133" si="56">IFERROR(H126/G126-1,"-")</f>
        <v>-2.732240437158473E-2</v>
      </c>
      <c r="J126" s="194">
        <f t="shared" si="55"/>
        <v>-230</v>
      </c>
      <c r="K126" s="196">
        <f t="shared" si="54"/>
        <v>2.3334163575108478E-3</v>
      </c>
    </row>
    <row r="127" spans="2:11" x14ac:dyDescent="0.25">
      <c r="B127" s="194" t="s">
        <v>115</v>
      </c>
      <c r="C127" s="195">
        <v>3337</v>
      </c>
      <c r="D127" s="195">
        <v>4426</v>
      </c>
      <c r="E127" s="195">
        <v>7498</v>
      </c>
      <c r="F127" s="195">
        <v>10075</v>
      </c>
      <c r="G127" s="195">
        <v>9604</v>
      </c>
      <c r="H127" s="195">
        <v>10743</v>
      </c>
      <c r="I127" s="212">
        <f t="shared" si="56"/>
        <v>0.11859641815910038</v>
      </c>
      <c r="J127" s="194">
        <f t="shared" si="55"/>
        <v>1139</v>
      </c>
      <c r="K127" s="196">
        <f t="shared" si="54"/>
        <v>3.0615402941791691E-3</v>
      </c>
    </row>
    <row r="128" spans="2:11" x14ac:dyDescent="0.25">
      <c r="B128" s="194" t="s">
        <v>118</v>
      </c>
      <c r="C128" s="195">
        <v>2423</v>
      </c>
      <c r="D128" s="195">
        <v>5516</v>
      </c>
      <c r="E128" s="195">
        <v>6537</v>
      </c>
      <c r="F128" s="195">
        <v>7047</v>
      </c>
      <c r="G128" s="195">
        <v>6923</v>
      </c>
      <c r="H128" s="195">
        <v>7567</v>
      </c>
      <c r="I128" s="212">
        <f t="shared" si="56"/>
        <v>9.3023255813953432E-2</v>
      </c>
      <c r="J128" s="194">
        <f t="shared" si="55"/>
        <v>644</v>
      </c>
      <c r="K128" s="196">
        <f t="shared" si="54"/>
        <v>2.1564437685985083E-3</v>
      </c>
    </row>
    <row r="129" spans="2:11" x14ac:dyDescent="0.25">
      <c r="B129" s="194" t="s">
        <v>125</v>
      </c>
      <c r="C129" s="195">
        <v>624</v>
      </c>
      <c r="D129" s="195">
        <v>833</v>
      </c>
      <c r="E129" s="195">
        <v>1977</v>
      </c>
      <c r="F129" s="195">
        <v>2052</v>
      </c>
      <c r="G129" s="195">
        <v>1813</v>
      </c>
      <c r="H129" s="195">
        <v>2156</v>
      </c>
      <c r="I129" s="212">
        <f t="shared" si="56"/>
        <v>0.18918918918918926</v>
      </c>
      <c r="J129" s="194">
        <f t="shared" si="55"/>
        <v>343</v>
      </c>
      <c r="K129" s="196">
        <f t="shared" si="54"/>
        <v>6.1441691094203568E-4</v>
      </c>
    </row>
    <row r="130" spans="2:11" x14ac:dyDescent="0.25">
      <c r="B130" s="194" t="s">
        <v>121</v>
      </c>
      <c r="C130" s="195">
        <v>625</v>
      </c>
      <c r="D130" s="195">
        <v>755</v>
      </c>
      <c r="E130" s="195">
        <v>1373</v>
      </c>
      <c r="F130" s="195">
        <v>1433</v>
      </c>
      <c r="G130" s="195">
        <v>1546</v>
      </c>
      <c r="H130" s="195">
        <v>1916</v>
      </c>
      <c r="I130" s="212">
        <f t="shared" si="56"/>
        <v>0.239327296248383</v>
      </c>
      <c r="J130" s="194">
        <f t="shared" si="55"/>
        <v>370</v>
      </c>
      <c r="K130" s="196">
        <f t="shared" si="54"/>
        <v>5.4602170749765318E-4</v>
      </c>
    </row>
    <row r="131" spans="2:11" x14ac:dyDescent="0.25">
      <c r="B131" s="194" t="s">
        <v>130</v>
      </c>
      <c r="C131" s="195">
        <v>652</v>
      </c>
      <c r="D131" s="195">
        <v>207</v>
      </c>
      <c r="E131" s="195">
        <v>785</v>
      </c>
      <c r="F131" s="195">
        <v>976</v>
      </c>
      <c r="G131" s="195">
        <v>1058</v>
      </c>
      <c r="H131" s="195">
        <v>814</v>
      </c>
      <c r="I131" s="212">
        <f t="shared" si="56"/>
        <v>-0.23062381852551983</v>
      </c>
      <c r="J131" s="194">
        <f t="shared" si="55"/>
        <v>-244</v>
      </c>
      <c r="K131" s="196">
        <f t="shared" si="54"/>
        <v>2.3197373168219713E-4</v>
      </c>
    </row>
    <row r="132" spans="2:11" x14ac:dyDescent="0.25">
      <c r="B132" s="194" t="s">
        <v>133</v>
      </c>
      <c r="C132" s="195">
        <v>1030</v>
      </c>
      <c r="D132" s="195">
        <v>358</v>
      </c>
      <c r="E132" s="195">
        <v>1266</v>
      </c>
      <c r="F132" s="195">
        <v>1806</v>
      </c>
      <c r="G132" s="195">
        <v>1655</v>
      </c>
      <c r="H132" s="195">
        <v>1540</v>
      </c>
      <c r="I132" s="212">
        <f t="shared" si="56"/>
        <v>-6.9486404833836835E-2</v>
      </c>
      <c r="J132" s="194">
        <f t="shared" si="55"/>
        <v>-115</v>
      </c>
      <c r="K132" s="196">
        <f t="shared" si="54"/>
        <v>4.3886922210145402E-4</v>
      </c>
    </row>
    <row r="133" spans="2:11" x14ac:dyDescent="0.25">
      <c r="B133" s="199" t="s">
        <v>147</v>
      </c>
      <c r="C133" s="200">
        <f t="shared" ref="C133" si="57">C125-SUM(C126:C132)</f>
        <v>21444</v>
      </c>
      <c r="D133" s="200">
        <f t="shared" ref="D133:H133" si="58">D125-SUM(D126:D132)</f>
        <v>27808</v>
      </c>
      <c r="E133" s="200">
        <f t="shared" si="58"/>
        <v>42387</v>
      </c>
      <c r="F133" s="200">
        <f t="shared" si="58"/>
        <v>39744</v>
      </c>
      <c r="G133" s="200">
        <f t="shared" si="58"/>
        <v>41554</v>
      </c>
      <c r="H133" s="200">
        <f t="shared" si="58"/>
        <v>45973</v>
      </c>
      <c r="I133" s="213">
        <f t="shared" si="56"/>
        <v>0.10634355296722342</v>
      </c>
      <c r="J133" s="199">
        <f>H133-G133</f>
        <v>4419</v>
      </c>
      <c r="K133" s="201">
        <f t="shared" si="54"/>
        <v>1.3101386199785809E-2</v>
      </c>
    </row>
    <row r="134" spans="2:11" x14ac:dyDescent="0.25">
      <c r="B134" s="186" t="s">
        <v>54</v>
      </c>
      <c r="C134" s="184"/>
      <c r="D134" s="184"/>
      <c r="E134" s="184"/>
      <c r="F134" s="184"/>
      <c r="G134" s="184"/>
      <c r="H134" s="184"/>
      <c r="I134" s="185"/>
      <c r="J134" s="185"/>
      <c r="K134" s="184"/>
    </row>
    <row r="135" spans="2:11" x14ac:dyDescent="0.25">
      <c r="B135" s="187" t="s">
        <v>70</v>
      </c>
      <c r="C135" s="209">
        <f t="shared" ref="C135:H135" si="59">C136+C139</f>
        <v>61204</v>
      </c>
      <c r="D135" s="209">
        <f t="shared" si="59"/>
        <v>84437</v>
      </c>
      <c r="E135" s="209">
        <f t="shared" si="59"/>
        <v>175993</v>
      </c>
      <c r="F135" s="209">
        <f t="shared" si="59"/>
        <v>189498</v>
      </c>
      <c r="G135" s="209">
        <f t="shared" si="59"/>
        <v>198882</v>
      </c>
      <c r="H135" s="209">
        <f t="shared" si="59"/>
        <v>194593</v>
      </c>
      <c r="I135" s="210">
        <f>IFERROR(H135/G135-1,"-")</f>
        <v>-2.1565551432507712E-2</v>
      </c>
      <c r="J135" s="209">
        <f>H135-G135</f>
        <v>-4289</v>
      </c>
      <c r="K135" s="210">
        <f t="shared" ref="K135:K147" si="60">H135/H$9</f>
        <v>5.5455115932719637E-2</v>
      </c>
    </row>
    <row r="136" spans="2:11" x14ac:dyDescent="0.25">
      <c r="B136" s="190" t="s">
        <v>99</v>
      </c>
      <c r="C136" s="191">
        <v>15140</v>
      </c>
      <c r="D136" s="191">
        <v>35081</v>
      </c>
      <c r="E136" s="191">
        <v>19155</v>
      </c>
      <c r="F136" s="191">
        <v>20702</v>
      </c>
      <c r="G136" s="191">
        <v>19404</v>
      </c>
      <c r="H136" s="191">
        <v>21066</v>
      </c>
      <c r="I136" s="211">
        <f>IFERROR(H136/G136-1,"-")</f>
        <v>8.5652442795300043E-2</v>
      </c>
      <c r="J136" s="190">
        <f t="shared" ref="J136:J146" si="61">H136-G136</f>
        <v>1662</v>
      </c>
      <c r="K136" s="192">
        <f t="shared" si="60"/>
        <v>6.0033889823306692E-3</v>
      </c>
    </row>
    <row r="137" spans="2:11" x14ac:dyDescent="0.25">
      <c r="B137" s="194" t="s">
        <v>105</v>
      </c>
      <c r="C137" s="195">
        <v>10601</v>
      </c>
      <c r="D137" s="195">
        <v>27598</v>
      </c>
      <c r="E137" s="195">
        <v>13341</v>
      </c>
      <c r="F137" s="195">
        <v>13432</v>
      </c>
      <c r="G137" s="195">
        <v>12529</v>
      </c>
      <c r="H137" s="195">
        <v>13414</v>
      </c>
      <c r="I137" s="212">
        <f>IFERROR(H137/G137-1,"-")</f>
        <v>7.0636124191874927E-2</v>
      </c>
      <c r="J137" s="194">
        <f t="shared" si="61"/>
        <v>885</v>
      </c>
      <c r="K137" s="196">
        <f t="shared" si="60"/>
        <v>3.8227219125122757E-3</v>
      </c>
    </row>
    <row r="138" spans="2:11" x14ac:dyDescent="0.25">
      <c r="B138" s="194" t="s">
        <v>102</v>
      </c>
      <c r="C138" s="195">
        <v>4539</v>
      </c>
      <c r="D138" s="195">
        <v>7483</v>
      </c>
      <c r="E138" s="195">
        <v>5814</v>
      </c>
      <c r="F138" s="195">
        <v>7270</v>
      </c>
      <c r="G138" s="195">
        <v>6875</v>
      </c>
      <c r="H138" s="195">
        <v>7652</v>
      </c>
      <c r="I138" s="212">
        <f>IFERROR(H138/G138-1,"-")</f>
        <v>0.11301818181818191</v>
      </c>
      <c r="J138" s="194">
        <f t="shared" si="61"/>
        <v>777</v>
      </c>
      <c r="K138" s="196">
        <f t="shared" si="60"/>
        <v>2.1806670698183935E-3</v>
      </c>
    </row>
    <row r="139" spans="2:11" x14ac:dyDescent="0.25">
      <c r="B139" s="190" t="s">
        <v>109</v>
      </c>
      <c r="C139" s="191">
        <v>46064</v>
      </c>
      <c r="D139" s="191">
        <v>49356</v>
      </c>
      <c r="E139" s="191">
        <v>156838</v>
      </c>
      <c r="F139" s="191">
        <v>168796</v>
      </c>
      <c r="G139" s="191">
        <v>179478</v>
      </c>
      <c r="H139" s="191">
        <v>173527</v>
      </c>
      <c r="I139" s="211">
        <f>IFERROR(H139/G139-1,"-")</f>
        <v>-3.3157267185950356E-2</v>
      </c>
      <c r="J139" s="190">
        <f t="shared" si="61"/>
        <v>-5951</v>
      </c>
      <c r="K139" s="192">
        <f t="shared" si="60"/>
        <v>4.945172695038897E-2</v>
      </c>
    </row>
    <row r="140" spans="2:11" x14ac:dyDescent="0.25">
      <c r="B140" s="194" t="s">
        <v>112</v>
      </c>
      <c r="C140" s="195">
        <v>16430</v>
      </c>
      <c r="D140" s="195">
        <v>11406</v>
      </c>
      <c r="E140" s="195">
        <v>69295</v>
      </c>
      <c r="F140" s="195">
        <v>74658</v>
      </c>
      <c r="G140" s="195">
        <v>82176</v>
      </c>
      <c r="H140" s="195">
        <v>81430</v>
      </c>
      <c r="I140" s="212">
        <f t="shared" ref="I140:I147" si="62">IFERROR(H140/G140-1,"-")</f>
        <v>-9.078076323987494E-3</v>
      </c>
      <c r="J140" s="194">
        <f t="shared" si="61"/>
        <v>-746</v>
      </c>
      <c r="K140" s="196">
        <f t="shared" si="60"/>
        <v>2.3205922568650259E-2</v>
      </c>
    </row>
    <row r="141" spans="2:11" x14ac:dyDescent="0.25">
      <c r="B141" s="194" t="s">
        <v>115</v>
      </c>
      <c r="C141" s="195">
        <v>3774</v>
      </c>
      <c r="D141" s="195">
        <v>4973</v>
      </c>
      <c r="E141" s="195">
        <v>10229</v>
      </c>
      <c r="F141" s="195">
        <v>14581</v>
      </c>
      <c r="G141" s="195">
        <v>15040</v>
      </c>
      <c r="H141" s="195">
        <v>15042</v>
      </c>
      <c r="I141" s="212">
        <f t="shared" si="62"/>
        <v>1.3297872340434225E-4</v>
      </c>
      <c r="J141" s="194">
        <f t="shared" si="61"/>
        <v>2</v>
      </c>
      <c r="K141" s="196">
        <f t="shared" si="60"/>
        <v>4.28666937587667E-3</v>
      </c>
    </row>
    <row r="142" spans="2:11" x14ac:dyDescent="0.25">
      <c r="B142" s="194" t="s">
        <v>118</v>
      </c>
      <c r="C142" s="195">
        <v>4896</v>
      </c>
      <c r="D142" s="195">
        <v>9654</v>
      </c>
      <c r="E142" s="195">
        <v>20164</v>
      </c>
      <c r="F142" s="195">
        <v>18188</v>
      </c>
      <c r="G142" s="195">
        <v>18331</v>
      </c>
      <c r="H142" s="195">
        <v>16618</v>
      </c>
      <c r="I142" s="212">
        <f t="shared" si="62"/>
        <v>-9.3448257050897432E-2</v>
      </c>
      <c r="J142" s="194">
        <f t="shared" si="61"/>
        <v>-1713</v>
      </c>
      <c r="K142" s="196">
        <f t="shared" si="60"/>
        <v>4.7357978784947812E-3</v>
      </c>
    </row>
    <row r="143" spans="2:11" x14ac:dyDescent="0.25">
      <c r="B143" s="194" t="s">
        <v>125</v>
      </c>
      <c r="C143" s="195">
        <v>581</v>
      </c>
      <c r="D143" s="195">
        <v>2175</v>
      </c>
      <c r="E143" s="195">
        <v>7219</v>
      </c>
      <c r="F143" s="195">
        <v>6236</v>
      </c>
      <c r="G143" s="195">
        <v>4335</v>
      </c>
      <c r="H143" s="195">
        <v>3722</v>
      </c>
      <c r="I143" s="212">
        <f t="shared" si="62"/>
        <v>-0.14140715109573243</v>
      </c>
      <c r="J143" s="194">
        <f t="shared" si="61"/>
        <v>-613</v>
      </c>
      <c r="K143" s="196">
        <f t="shared" si="60"/>
        <v>1.060695613416631E-3</v>
      </c>
    </row>
    <row r="144" spans="2:11" x14ac:dyDescent="0.25">
      <c r="B144" s="194" t="s">
        <v>121</v>
      </c>
      <c r="C144" s="195">
        <v>1428</v>
      </c>
      <c r="D144" s="195">
        <v>1986</v>
      </c>
      <c r="E144" s="195">
        <v>2964</v>
      </c>
      <c r="F144" s="195">
        <v>3948</v>
      </c>
      <c r="G144" s="195">
        <v>4054</v>
      </c>
      <c r="H144" s="195">
        <v>2995</v>
      </c>
      <c r="I144" s="212">
        <f t="shared" si="62"/>
        <v>-0.26122348297977305</v>
      </c>
      <c r="J144" s="194">
        <f t="shared" si="61"/>
        <v>-1059</v>
      </c>
      <c r="K144" s="196">
        <f t="shared" si="60"/>
        <v>8.5351514298302256E-4</v>
      </c>
    </row>
    <row r="145" spans="2:11" x14ac:dyDescent="0.25">
      <c r="B145" s="194" t="s">
        <v>130</v>
      </c>
      <c r="C145" s="195">
        <v>1583</v>
      </c>
      <c r="D145" s="195">
        <v>272</v>
      </c>
      <c r="E145" s="195">
        <v>1712</v>
      </c>
      <c r="F145" s="195">
        <v>2023</v>
      </c>
      <c r="G145" s="195">
        <v>1998</v>
      </c>
      <c r="H145" s="195">
        <v>2134</v>
      </c>
      <c r="I145" s="212">
        <f t="shared" si="62"/>
        <v>6.8068068068068088E-2</v>
      </c>
      <c r="J145" s="194">
        <f t="shared" si="61"/>
        <v>136</v>
      </c>
      <c r="K145" s="196">
        <f t="shared" si="60"/>
        <v>6.0814735062630053E-4</v>
      </c>
    </row>
    <row r="146" spans="2:11" x14ac:dyDescent="0.25">
      <c r="B146" s="194" t="s">
        <v>133</v>
      </c>
      <c r="C146" s="195">
        <v>3337</v>
      </c>
      <c r="D146" s="195">
        <v>170</v>
      </c>
      <c r="E146" s="195">
        <v>847</v>
      </c>
      <c r="F146" s="195">
        <v>1418</v>
      </c>
      <c r="G146" s="195">
        <v>1336</v>
      </c>
      <c r="H146" s="195">
        <v>983</v>
      </c>
      <c r="I146" s="212">
        <f t="shared" si="62"/>
        <v>-0.2642215568862275</v>
      </c>
      <c r="J146" s="194">
        <f t="shared" si="61"/>
        <v>-353</v>
      </c>
      <c r="K146" s="196">
        <f t="shared" si="60"/>
        <v>2.8013535410761643E-4</v>
      </c>
    </row>
    <row r="147" spans="2:11" x14ac:dyDescent="0.25">
      <c r="B147" s="199" t="s">
        <v>147</v>
      </c>
      <c r="C147" s="200">
        <f t="shared" ref="C147" si="63">C139-SUM(C140:C146)</f>
        <v>14035</v>
      </c>
      <c r="D147" s="200">
        <f t="shared" ref="D147:H147" si="64">D139-SUM(D140:D146)</f>
        <v>18720</v>
      </c>
      <c r="E147" s="200">
        <f t="shared" si="64"/>
        <v>44408</v>
      </c>
      <c r="F147" s="200">
        <f t="shared" si="64"/>
        <v>47744</v>
      </c>
      <c r="G147" s="200">
        <f t="shared" si="64"/>
        <v>52208</v>
      </c>
      <c r="H147" s="200">
        <f t="shared" si="64"/>
        <v>50603</v>
      </c>
      <c r="I147" s="213">
        <f t="shared" si="62"/>
        <v>-3.0742414955562403E-2</v>
      </c>
      <c r="J147" s="199">
        <f>H147-G147</f>
        <v>-1605</v>
      </c>
      <c r="K147" s="201">
        <f t="shared" si="60"/>
        <v>1.4420843666233687E-2</v>
      </c>
    </row>
    <row r="148" spans="2:11" x14ac:dyDescent="0.25">
      <c r="B148" s="186" t="s">
        <v>55</v>
      </c>
      <c r="C148" s="184"/>
      <c r="D148" s="184"/>
      <c r="E148" s="184"/>
      <c r="F148" s="184"/>
      <c r="G148" s="184"/>
      <c r="H148" s="184"/>
      <c r="I148" s="185"/>
      <c r="J148" s="185"/>
      <c r="K148" s="184"/>
    </row>
    <row r="149" spans="2:11" x14ac:dyDescent="0.25">
      <c r="B149" s="187" t="s">
        <v>70</v>
      </c>
      <c r="C149" s="209">
        <f t="shared" ref="C149:H149" si="65">C150+C153</f>
        <v>33173</v>
      </c>
      <c r="D149" s="209">
        <f t="shared" si="65"/>
        <v>51865</v>
      </c>
      <c r="E149" s="209">
        <f t="shared" si="65"/>
        <v>88252</v>
      </c>
      <c r="F149" s="209">
        <f t="shared" si="65"/>
        <v>93505</v>
      </c>
      <c r="G149" s="209">
        <f t="shared" si="65"/>
        <v>96698</v>
      </c>
      <c r="H149" s="209">
        <f t="shared" si="65"/>
        <v>95584</v>
      </c>
      <c r="I149" s="210">
        <f>IFERROR(H149/G149-1,"-")</f>
        <v>-1.1520403731204332E-2</v>
      </c>
      <c r="J149" s="209">
        <f>H149-G149</f>
        <v>-1114</v>
      </c>
      <c r="K149" s="210">
        <f t="shared" ref="K149:K161" si="66">H149/H$9</f>
        <v>2.7239529691782716E-2</v>
      </c>
    </row>
    <row r="150" spans="2:11" x14ac:dyDescent="0.25">
      <c r="B150" s="190" t="s">
        <v>99</v>
      </c>
      <c r="C150" s="191">
        <v>15912</v>
      </c>
      <c r="D150" s="191">
        <v>32508</v>
      </c>
      <c r="E150" s="191">
        <v>48579</v>
      </c>
      <c r="F150" s="191">
        <v>49394</v>
      </c>
      <c r="G150" s="191">
        <v>45290</v>
      </c>
      <c r="H150" s="191">
        <v>43126</v>
      </c>
      <c r="I150" s="211">
        <f>IFERROR(H150/G150-1,"-")</f>
        <v>-4.7780967100905292E-2</v>
      </c>
      <c r="J150" s="190">
        <f t="shared" ref="J150:J160" si="67">H150-G150</f>
        <v>-2164</v>
      </c>
      <c r="K150" s="192">
        <f t="shared" si="66"/>
        <v>1.2290048098926823E-2</v>
      </c>
    </row>
    <row r="151" spans="2:11" x14ac:dyDescent="0.25">
      <c r="B151" s="194" t="s">
        <v>105</v>
      </c>
      <c r="C151" s="195">
        <v>9256</v>
      </c>
      <c r="D151" s="195">
        <v>26104</v>
      </c>
      <c r="E151" s="195">
        <v>35560</v>
      </c>
      <c r="F151" s="195">
        <v>37060</v>
      </c>
      <c r="G151" s="195">
        <v>31334</v>
      </c>
      <c r="H151" s="195">
        <v>28288</v>
      </c>
      <c r="I151" s="212">
        <f>IFERROR(H151/G151-1,"-")</f>
        <v>-9.7210697644731003E-2</v>
      </c>
      <c r="J151" s="194">
        <f t="shared" si="67"/>
        <v>-3046</v>
      </c>
      <c r="K151" s="196">
        <f t="shared" si="66"/>
        <v>8.0615146459778776E-3</v>
      </c>
    </row>
    <row r="152" spans="2:11" x14ac:dyDescent="0.25">
      <c r="B152" s="194" t="s">
        <v>102</v>
      </c>
      <c r="C152" s="195">
        <v>6656</v>
      </c>
      <c r="D152" s="195">
        <v>6404</v>
      </c>
      <c r="E152" s="195">
        <v>13019</v>
      </c>
      <c r="F152" s="195">
        <v>12334</v>
      </c>
      <c r="G152" s="195">
        <v>13956</v>
      </c>
      <c r="H152" s="195">
        <v>14838</v>
      </c>
      <c r="I152" s="212">
        <f>IFERROR(H152/G152-1,"-")</f>
        <v>6.3198624247635449E-2</v>
      </c>
      <c r="J152" s="194">
        <f t="shared" si="67"/>
        <v>882</v>
      </c>
      <c r="K152" s="196">
        <f t="shared" si="66"/>
        <v>4.2285334529489444E-3</v>
      </c>
    </row>
    <row r="153" spans="2:11" x14ac:dyDescent="0.25">
      <c r="B153" s="190" t="s">
        <v>109</v>
      </c>
      <c r="C153" s="191">
        <v>17261</v>
      </c>
      <c r="D153" s="191">
        <v>19357</v>
      </c>
      <c r="E153" s="191">
        <v>39673</v>
      </c>
      <c r="F153" s="191">
        <v>44111</v>
      </c>
      <c r="G153" s="191">
        <v>51408</v>
      </c>
      <c r="H153" s="191">
        <v>52458</v>
      </c>
      <c r="I153" s="211">
        <f>IFERROR(H153/G153-1,"-")</f>
        <v>2.0424836601307117E-2</v>
      </c>
      <c r="J153" s="190">
        <f t="shared" si="67"/>
        <v>1050</v>
      </c>
      <c r="K153" s="192">
        <f t="shared" si="66"/>
        <v>1.4949481592855893E-2</v>
      </c>
    </row>
    <row r="154" spans="2:11" x14ac:dyDescent="0.25">
      <c r="B154" s="194" t="s">
        <v>112</v>
      </c>
      <c r="C154" s="195">
        <v>5088</v>
      </c>
      <c r="D154" s="195">
        <v>2319</v>
      </c>
      <c r="E154" s="195">
        <v>14901</v>
      </c>
      <c r="F154" s="195">
        <v>14713</v>
      </c>
      <c r="G154" s="195">
        <v>16286</v>
      </c>
      <c r="H154" s="195">
        <v>14503</v>
      </c>
      <c r="I154" s="212">
        <f t="shared" ref="I154:I161" si="68">IFERROR(H154/G154-1,"-")</f>
        <v>-0.109480535429203</v>
      </c>
      <c r="J154" s="194">
        <f t="shared" si="67"/>
        <v>-1783</v>
      </c>
      <c r="K154" s="196">
        <f t="shared" si="66"/>
        <v>4.1330651481411608E-3</v>
      </c>
    </row>
    <row r="155" spans="2:11" x14ac:dyDescent="0.25">
      <c r="B155" s="194" t="s">
        <v>115</v>
      </c>
      <c r="C155" s="195">
        <v>4122</v>
      </c>
      <c r="D155" s="195">
        <v>4355</v>
      </c>
      <c r="E155" s="195">
        <v>7390</v>
      </c>
      <c r="F155" s="195">
        <v>7791</v>
      </c>
      <c r="G155" s="195">
        <v>7560</v>
      </c>
      <c r="H155" s="195">
        <v>7829</v>
      </c>
      <c r="I155" s="212">
        <f t="shared" si="68"/>
        <v>3.5582010582010604E-2</v>
      </c>
      <c r="J155" s="194">
        <f t="shared" si="67"/>
        <v>269</v>
      </c>
      <c r="K155" s="196">
        <f t="shared" si="66"/>
        <v>2.2311085323586258E-3</v>
      </c>
    </row>
    <row r="156" spans="2:11" x14ac:dyDescent="0.25">
      <c r="B156" s="194" t="s">
        <v>118</v>
      </c>
      <c r="C156" s="195">
        <v>2010</v>
      </c>
      <c r="D156" s="195">
        <v>4184</v>
      </c>
      <c r="E156" s="195">
        <v>4956</v>
      </c>
      <c r="F156" s="195">
        <v>7325</v>
      </c>
      <c r="G156" s="195">
        <v>9288</v>
      </c>
      <c r="H156" s="195">
        <v>13252</v>
      </c>
      <c r="I156" s="212">
        <f t="shared" si="68"/>
        <v>0.42678725236864778</v>
      </c>
      <c r="J156" s="194">
        <f t="shared" si="67"/>
        <v>3964</v>
      </c>
      <c r="K156" s="196">
        <f t="shared" si="66"/>
        <v>3.7765551501873175E-3</v>
      </c>
    </row>
    <row r="157" spans="2:11" x14ac:dyDescent="0.25">
      <c r="B157" s="194" t="s">
        <v>125</v>
      </c>
      <c r="C157" s="195">
        <v>539</v>
      </c>
      <c r="D157" s="195">
        <v>597</v>
      </c>
      <c r="E157" s="195">
        <v>1245</v>
      </c>
      <c r="F157" s="195">
        <v>1110</v>
      </c>
      <c r="G157" s="195">
        <v>1459</v>
      </c>
      <c r="H157" s="195">
        <v>1502</v>
      </c>
      <c r="I157" s="212">
        <f t="shared" si="68"/>
        <v>2.9472241261137677E-2</v>
      </c>
      <c r="J157" s="194">
        <f t="shared" si="67"/>
        <v>43</v>
      </c>
      <c r="K157" s="196">
        <f t="shared" si="66"/>
        <v>4.2803998155609347E-4</v>
      </c>
    </row>
    <row r="158" spans="2:11" x14ac:dyDescent="0.25">
      <c r="B158" s="194" t="s">
        <v>121</v>
      </c>
      <c r="C158" s="195">
        <v>1123</v>
      </c>
      <c r="D158" s="195">
        <v>1229</v>
      </c>
      <c r="E158" s="195">
        <v>2549</v>
      </c>
      <c r="F158" s="195">
        <v>2405</v>
      </c>
      <c r="G158" s="195">
        <v>2794</v>
      </c>
      <c r="H158" s="195">
        <v>2049</v>
      </c>
      <c r="I158" s="212">
        <f t="shared" si="68"/>
        <v>-0.2666428060128847</v>
      </c>
      <c r="J158" s="194">
        <f t="shared" si="67"/>
        <v>-745</v>
      </c>
      <c r="K158" s="196">
        <f t="shared" si="66"/>
        <v>5.8392404940641515E-4</v>
      </c>
    </row>
    <row r="159" spans="2:11" x14ac:dyDescent="0.25">
      <c r="B159" s="194" t="s">
        <v>130</v>
      </c>
      <c r="C159" s="195">
        <v>218</v>
      </c>
      <c r="D159" s="195">
        <v>116</v>
      </c>
      <c r="E159" s="195">
        <v>303</v>
      </c>
      <c r="F159" s="195">
        <v>289</v>
      </c>
      <c r="G159" s="195">
        <v>299</v>
      </c>
      <c r="H159" s="195">
        <v>233</v>
      </c>
      <c r="I159" s="212">
        <f t="shared" si="68"/>
        <v>-0.22073578595317722</v>
      </c>
      <c r="J159" s="194">
        <f t="shared" si="67"/>
        <v>-66</v>
      </c>
      <c r="K159" s="196">
        <f t="shared" si="66"/>
        <v>6.6400343343921288E-5</v>
      </c>
    </row>
    <row r="160" spans="2:11" x14ac:dyDescent="0.25">
      <c r="B160" s="194" t="s">
        <v>133</v>
      </c>
      <c r="C160" s="195">
        <v>283</v>
      </c>
      <c r="D160" s="195">
        <v>138</v>
      </c>
      <c r="E160" s="195">
        <v>455</v>
      </c>
      <c r="F160" s="195">
        <v>599</v>
      </c>
      <c r="G160" s="195">
        <v>430</v>
      </c>
      <c r="H160" s="195">
        <v>302</v>
      </c>
      <c r="I160" s="212">
        <f t="shared" si="68"/>
        <v>-0.29767441860465116</v>
      </c>
      <c r="J160" s="194">
        <f t="shared" si="67"/>
        <v>-128</v>
      </c>
      <c r="K160" s="196">
        <f t="shared" si="66"/>
        <v>8.606396433418124E-5</v>
      </c>
    </row>
    <row r="161" spans="2:11" x14ac:dyDescent="0.25">
      <c r="B161" s="199" t="s">
        <v>147</v>
      </c>
      <c r="C161" s="200">
        <f t="shared" ref="C161" si="69">C153-SUM(C154:C160)</f>
        <v>3878</v>
      </c>
      <c r="D161" s="200">
        <f t="shared" ref="D161:H161" si="70">D153-SUM(D154:D160)</f>
        <v>6419</v>
      </c>
      <c r="E161" s="200">
        <f t="shared" si="70"/>
        <v>7874</v>
      </c>
      <c r="F161" s="200">
        <f t="shared" si="70"/>
        <v>9879</v>
      </c>
      <c r="G161" s="200">
        <f t="shared" si="70"/>
        <v>13292</v>
      </c>
      <c r="H161" s="200">
        <f t="shared" si="70"/>
        <v>12788</v>
      </c>
      <c r="I161" s="213">
        <f t="shared" si="68"/>
        <v>-3.7917544387601532E-2</v>
      </c>
      <c r="J161" s="199">
        <f>H161-G161</f>
        <v>-504</v>
      </c>
      <c r="K161" s="201">
        <f t="shared" si="66"/>
        <v>3.6443244235281778E-3</v>
      </c>
    </row>
    <row r="162" spans="2:11" x14ac:dyDescent="0.25">
      <c r="C162" s="103"/>
      <c r="D162" s="103"/>
      <c r="E162" s="103"/>
      <c r="F162" s="103"/>
      <c r="G162" s="103"/>
      <c r="H162" s="103"/>
      <c r="I162" s="103"/>
    </row>
    <row r="163" spans="2:11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1F10-ACFF-4C10-8DA7-8798B0D580F3}">
  <sheetPr>
    <tabColor theme="7" tint="0.79998168889431442"/>
    <pageSetUpPr fitToPage="1"/>
  </sheetPr>
  <dimension ref="A1:W163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</cols>
  <sheetData>
    <row r="1" spans="1:23" ht="42.75" customHeight="1" x14ac:dyDescent="0.25"/>
    <row r="4" spans="1:23" ht="42" customHeight="1" thickBot="1" x14ac:dyDescent="0.3">
      <c r="B4" s="12" t="str">
        <f>CONCATENATE("Viajeros entrados en los apartamentos de Tenerife según lugar de residencia y municipio de alojamiento")</f>
        <v>Viajeros entrados en los apartamentos de Tenerife según lugar de residencia y municipio de alojamiento</v>
      </c>
      <c r="C4" s="12"/>
      <c r="D4" s="12"/>
      <c r="E4" s="12"/>
      <c r="F4" s="12"/>
      <c r="G4" s="12"/>
      <c r="H4" s="12"/>
      <c r="I4" s="12"/>
      <c r="J4" s="173"/>
      <c r="K4" s="173"/>
      <c r="N4" s="172" t="s">
        <v>272</v>
      </c>
      <c r="O4" s="173"/>
      <c r="P4" s="173"/>
      <c r="Q4" s="173"/>
      <c r="R4" s="173"/>
      <c r="S4" s="173"/>
      <c r="T4" s="173"/>
      <c r="U4" s="173"/>
      <c r="V4" s="173"/>
      <c r="W4" s="173"/>
    </row>
    <row r="5" spans="1:23" ht="6" customHeight="1" x14ac:dyDescent="0.25"/>
    <row r="6" spans="1:23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N6" s="174"/>
      <c r="O6" s="203" t="s">
        <v>45</v>
      </c>
      <c r="P6" s="204"/>
      <c r="Q6" s="204"/>
      <c r="R6" s="204"/>
      <c r="S6" s="204"/>
      <c r="T6" s="204"/>
      <c r="U6" s="204"/>
      <c r="V6" s="204"/>
      <c r="W6" s="204"/>
    </row>
    <row r="7" spans="1:23" s="177" customFormat="1" ht="72" customHeight="1" x14ac:dyDescent="0.25">
      <c r="B7" s="178"/>
      <c r="C7" s="205" t="s">
        <v>265</v>
      </c>
      <c r="D7" s="205" t="s">
        <v>266</v>
      </c>
      <c r="E7" s="205" t="s">
        <v>267</v>
      </c>
      <c r="F7" s="205" t="s">
        <v>268</v>
      </c>
      <c r="G7" s="205" t="s">
        <v>269</v>
      </c>
      <c r="H7" s="205" t="s">
        <v>270</v>
      </c>
      <c r="I7" s="206" t="str">
        <f>CONCATENATE("var. ",RIGHT(H7,2),"/",RIGHT(G7,2))</f>
        <v>var. 25/24</v>
      </c>
      <c r="J7" s="205" t="str">
        <f>CONCATENATE("dif. ",RIGHT(H7,2),"/",RIGHT(G7,2))</f>
        <v>dif. 25/24</v>
      </c>
      <c r="K7" s="206" t="str">
        <f>CONCATENATE("Cuota s/ total lugares de residencia ",RIGHT(H7,4))</f>
        <v>Cuota s/ total lugares de residencia 2025</v>
      </c>
      <c r="N7" s="178"/>
      <c r="O7" s="205" t="s">
        <v>265</v>
      </c>
      <c r="P7" s="205" t="s">
        <v>266</v>
      </c>
      <c r="Q7" s="205" t="s">
        <v>267</v>
      </c>
      <c r="R7" s="205" t="s">
        <v>268</v>
      </c>
      <c r="S7" s="205" t="s">
        <v>269</v>
      </c>
      <c r="T7" s="205" t="s">
        <v>270</v>
      </c>
      <c r="U7" s="206" t="str">
        <f>CONCATENATE("var. ",RIGHT(T7,2),"/",RIGHT(S7,2))</f>
        <v>var. 25/24</v>
      </c>
      <c r="V7" s="205" t="str">
        <f>CONCATENATE("dif. ",RIGHT(T7,2),"/",RIGHT(S7,2))</f>
        <v>dif. 25/24</v>
      </c>
      <c r="W7" s="206" t="str">
        <f>CONCATENATE("Cuota s/ total lugares de residencia ",RIGHT(T7,4))</f>
        <v>Cuota s/ total lugares de residencia 2025</v>
      </c>
    </row>
    <row r="8" spans="1:23" x14ac:dyDescent="0.25">
      <c r="A8" s="1"/>
      <c r="B8" s="183" t="s">
        <v>45</v>
      </c>
      <c r="C8" s="184"/>
      <c r="D8" s="184"/>
      <c r="E8" s="184"/>
      <c r="F8" s="184"/>
      <c r="G8" s="184"/>
      <c r="H8" s="185"/>
      <c r="I8" s="185"/>
      <c r="J8" s="185"/>
      <c r="K8" s="184"/>
      <c r="N8" s="186" t="s">
        <v>51</v>
      </c>
      <c r="O8" s="184"/>
      <c r="P8" s="184"/>
      <c r="Q8" s="184"/>
      <c r="R8" s="184"/>
      <c r="S8" s="184"/>
      <c r="T8" s="185"/>
      <c r="U8" s="185"/>
      <c r="V8" s="185"/>
      <c r="W8" s="184"/>
    </row>
    <row r="9" spans="1:23" x14ac:dyDescent="0.25">
      <c r="A9" s="1" t="s">
        <v>98</v>
      </c>
      <c r="B9" s="187" t="s">
        <v>70</v>
      </c>
      <c r="C9" s="209">
        <f t="shared" ref="C9:H9" si="0">C10+C13</f>
        <v>326656</v>
      </c>
      <c r="D9" s="209">
        <f t="shared" si="0"/>
        <v>343001</v>
      </c>
      <c r="E9" s="209">
        <f t="shared" si="0"/>
        <v>808801</v>
      </c>
      <c r="F9" s="209">
        <f t="shared" si="0"/>
        <v>912644</v>
      </c>
      <c r="G9" s="209">
        <f t="shared" si="0"/>
        <v>1003054</v>
      </c>
      <c r="H9" s="209">
        <f t="shared" si="0"/>
        <v>1056117</v>
      </c>
      <c r="I9" s="210">
        <f>IFERROR(H9/G9-1,"-")</f>
        <v>5.2901439005277773E-2</v>
      </c>
      <c r="J9" s="209">
        <f t="shared" ref="J9:J21" si="1">H9-G9</f>
        <v>53063</v>
      </c>
      <c r="K9" s="210">
        <f t="shared" ref="K9:K21" si="2">H9/H$9</f>
        <v>1</v>
      </c>
      <c r="N9" s="187" t="s">
        <v>70</v>
      </c>
      <c r="O9" s="209" t="e">
        <f t="shared" ref="O9:T9" si="3">O10+O13</f>
        <v>#REF!</v>
      </c>
      <c r="P9" s="209" t="e">
        <f t="shared" si="3"/>
        <v>#REF!</v>
      </c>
      <c r="Q9" s="209" t="e">
        <f t="shared" si="3"/>
        <v>#REF!</v>
      </c>
      <c r="R9" s="209" t="e">
        <f t="shared" si="3"/>
        <v>#REF!</v>
      </c>
      <c r="S9" s="209" t="e">
        <f t="shared" si="3"/>
        <v>#REF!</v>
      </c>
      <c r="T9" s="209" t="e">
        <f t="shared" si="3"/>
        <v>#REF!</v>
      </c>
      <c r="U9" s="210" t="str">
        <f>IFERROR(T9/S9-1,"-")</f>
        <v>-</v>
      </c>
      <c r="V9" s="209" t="e">
        <f>T9-S9</f>
        <v>#REF!</v>
      </c>
      <c r="W9" s="210" t="e">
        <f t="shared" ref="W9:W21" si="4">T9/T$9</f>
        <v>#REF!</v>
      </c>
    </row>
    <row r="10" spans="1:23" x14ac:dyDescent="0.25">
      <c r="A10" s="193" t="s">
        <v>105</v>
      </c>
      <c r="B10" s="190" t="s">
        <v>99</v>
      </c>
      <c r="C10" s="191">
        <v>69877</v>
      </c>
      <c r="D10" s="191">
        <v>119292</v>
      </c>
      <c r="E10" s="191">
        <v>139589</v>
      </c>
      <c r="F10" s="191">
        <v>144299</v>
      </c>
      <c r="G10" s="191">
        <v>152849</v>
      </c>
      <c r="H10" s="191">
        <v>169020</v>
      </c>
      <c r="I10" s="211">
        <f>IFERROR(H10/G10-1,"-")</f>
        <v>0.10579722471197073</v>
      </c>
      <c r="J10" s="190">
        <f t="shared" si="1"/>
        <v>16171</v>
      </c>
      <c r="K10" s="192">
        <f t="shared" si="2"/>
        <v>0.16003908657847568</v>
      </c>
      <c r="N10" s="190" t="s">
        <v>99</v>
      </c>
      <c r="O10" s="191" t="e">
        <v>#REF!</v>
      </c>
      <c r="P10" s="191" t="e">
        <v>#REF!</v>
      </c>
      <c r="Q10" s="191" t="e">
        <v>#REF!</v>
      </c>
      <c r="R10" s="191" t="e">
        <v>#REF!</v>
      </c>
      <c r="S10" s="191" t="e">
        <v>#REF!</v>
      </c>
      <c r="T10" s="191" t="e">
        <v>#REF!</v>
      </c>
      <c r="U10" s="211" t="str">
        <f>IFERROR(T10/S10-1,"-")</f>
        <v>-</v>
      </c>
      <c r="V10" s="190" t="e">
        <f t="shared" ref="V10:V20" si="5">T10-S10</f>
        <v>#REF!</v>
      </c>
      <c r="W10" s="192" t="e">
        <f t="shared" si="4"/>
        <v>#REF!</v>
      </c>
    </row>
    <row r="11" spans="1:23" x14ac:dyDescent="0.25">
      <c r="A11" s="193" t="s">
        <v>102</v>
      </c>
      <c r="B11" s="194" t="s">
        <v>105</v>
      </c>
      <c r="C11" s="195">
        <v>49661</v>
      </c>
      <c r="D11" s="195">
        <v>83722</v>
      </c>
      <c r="E11" s="195">
        <v>82781</v>
      </c>
      <c r="F11" s="195">
        <v>81092</v>
      </c>
      <c r="G11" s="195">
        <v>74558</v>
      </c>
      <c r="H11" s="195">
        <v>74366</v>
      </c>
      <c r="I11" s="212">
        <f>IFERROR(H11/G11-1,"-")</f>
        <v>-2.5751763727567267E-3</v>
      </c>
      <c r="J11" s="194">
        <f t="shared" si="1"/>
        <v>-192</v>
      </c>
      <c r="K11" s="196">
        <f t="shared" si="2"/>
        <v>7.041454687312107E-2</v>
      </c>
      <c r="N11" s="194" t="s">
        <v>105</v>
      </c>
      <c r="O11" s="195" t="e">
        <v>#REF!</v>
      </c>
      <c r="P11" s="195" t="e">
        <v>#REF!</v>
      </c>
      <c r="Q11" s="195" t="e">
        <v>#REF!</v>
      </c>
      <c r="R11" s="195" t="e">
        <v>#REF!</v>
      </c>
      <c r="S11" s="195" t="e">
        <v>#REF!</v>
      </c>
      <c r="T11" s="195" t="e">
        <v>#REF!</v>
      </c>
      <c r="U11" s="212" t="str">
        <f>IFERROR(T11/S11-1,"-")</f>
        <v>-</v>
      </c>
      <c r="V11" s="194" t="e">
        <f t="shared" si="5"/>
        <v>#REF!</v>
      </c>
      <c r="W11" s="196" t="e">
        <f>T11/T$9</f>
        <v>#REF!</v>
      </c>
    </row>
    <row r="12" spans="1:23" x14ac:dyDescent="0.25">
      <c r="A12" s="1"/>
      <c r="B12" s="194" t="s">
        <v>102</v>
      </c>
      <c r="C12" s="195">
        <v>20216</v>
      </c>
      <c r="D12" s="195">
        <v>35570</v>
      </c>
      <c r="E12" s="195">
        <v>56808</v>
      </c>
      <c r="F12" s="195">
        <v>63207</v>
      </c>
      <c r="G12" s="195">
        <v>78291</v>
      </c>
      <c r="H12" s="195">
        <v>94654</v>
      </c>
      <c r="I12" s="212">
        <f>IFERROR(H12/G12-1,"-")</f>
        <v>0.20900231188770091</v>
      </c>
      <c r="J12" s="194">
        <f t="shared" si="1"/>
        <v>16363</v>
      </c>
      <c r="K12" s="196">
        <f t="shared" si="2"/>
        <v>8.9624539705354611E-2</v>
      </c>
      <c r="N12" s="194" t="s">
        <v>102</v>
      </c>
      <c r="O12" s="195" t="e">
        <v>#REF!</v>
      </c>
      <c r="P12" s="195" t="e">
        <v>#REF!</v>
      </c>
      <c r="Q12" s="195" t="e">
        <v>#REF!</v>
      </c>
      <c r="R12" s="195" t="e">
        <v>#REF!</v>
      </c>
      <c r="S12" s="195" t="e">
        <v>#REF!</v>
      </c>
      <c r="T12" s="195" t="e">
        <v>#REF!</v>
      </c>
      <c r="U12" s="212" t="str">
        <f>IFERROR(T12/S12-1,"-")</f>
        <v>-</v>
      </c>
      <c r="V12" s="194" t="e">
        <f t="shared" si="5"/>
        <v>#REF!</v>
      </c>
      <c r="W12" s="196" t="e">
        <f t="shared" si="4"/>
        <v>#REF!</v>
      </c>
    </row>
    <row r="13" spans="1:23" s="74" customFormat="1" x14ac:dyDescent="0.25">
      <c r="B13" s="190" t="s">
        <v>109</v>
      </c>
      <c r="C13" s="191">
        <v>256779</v>
      </c>
      <c r="D13" s="191">
        <v>223709</v>
      </c>
      <c r="E13" s="191">
        <v>669212</v>
      </c>
      <c r="F13" s="191">
        <v>768345</v>
      </c>
      <c r="G13" s="191">
        <v>850205</v>
      </c>
      <c r="H13" s="191">
        <v>887097</v>
      </c>
      <c r="I13" s="211">
        <f>IFERROR(H13/G13-1,"-")</f>
        <v>4.3391887838815313E-2</v>
      </c>
      <c r="J13" s="190">
        <f t="shared" si="1"/>
        <v>36892</v>
      </c>
      <c r="K13" s="192">
        <f t="shared" si="2"/>
        <v>0.83996091342152435</v>
      </c>
      <c r="N13" s="190" t="s">
        <v>109</v>
      </c>
      <c r="O13" s="191" t="e">
        <v>#REF!</v>
      </c>
      <c r="P13" s="191" t="e">
        <v>#REF!</v>
      </c>
      <c r="Q13" s="191" t="e">
        <v>#REF!</v>
      </c>
      <c r="R13" s="191" t="e">
        <v>#REF!</v>
      </c>
      <c r="S13" s="191" t="e">
        <v>#REF!</v>
      </c>
      <c r="T13" s="191" t="e">
        <v>#REF!</v>
      </c>
      <c r="U13" s="211" t="str">
        <f>IFERROR(T13/S13-1,"-")</f>
        <v>-</v>
      </c>
      <c r="V13" s="190" t="e">
        <f t="shared" si="5"/>
        <v>#REF!</v>
      </c>
      <c r="W13" s="192" t="e">
        <f t="shared" si="4"/>
        <v>#REF!</v>
      </c>
    </row>
    <row r="14" spans="1:23" s="74" customFormat="1" x14ac:dyDescent="0.25">
      <c r="B14" s="194" t="s">
        <v>112</v>
      </c>
      <c r="C14" s="195">
        <v>107238</v>
      </c>
      <c r="D14" s="195">
        <v>63768</v>
      </c>
      <c r="E14" s="195">
        <v>331767</v>
      </c>
      <c r="F14" s="195">
        <v>401834</v>
      </c>
      <c r="G14" s="195">
        <v>460786</v>
      </c>
      <c r="H14" s="195">
        <v>485840</v>
      </c>
      <c r="I14" s="212">
        <f t="shared" ref="I14:I21" si="6">IFERROR(H14/G14-1,"-")</f>
        <v>5.437231165877443E-2</v>
      </c>
      <c r="J14" s="194">
        <f t="shared" si="1"/>
        <v>25054</v>
      </c>
      <c r="K14" s="196">
        <f t="shared" si="2"/>
        <v>0.46002478892016702</v>
      </c>
      <c r="N14" s="194" t="s">
        <v>112</v>
      </c>
      <c r="O14" s="195" t="e">
        <v>#REF!</v>
      </c>
      <c r="P14" s="195" t="e">
        <v>#REF!</v>
      </c>
      <c r="Q14" s="195" t="e">
        <v>#REF!</v>
      </c>
      <c r="R14" s="195" t="e">
        <v>#REF!</v>
      </c>
      <c r="S14" s="195" t="e">
        <v>#REF!</v>
      </c>
      <c r="T14" s="195" t="e">
        <v>#REF!</v>
      </c>
      <c r="U14" s="212" t="str">
        <f t="shared" ref="U14:U21" si="7">IFERROR(T14/S14-1,"-")</f>
        <v>-</v>
      </c>
      <c r="V14" s="194" t="e">
        <f t="shared" si="5"/>
        <v>#REF!</v>
      </c>
      <c r="W14" s="196" t="e">
        <f t="shared" si="4"/>
        <v>#REF!</v>
      </c>
    </row>
    <row r="15" spans="1:23" x14ac:dyDescent="0.25">
      <c r="A15" s="1"/>
      <c r="B15" s="194" t="s">
        <v>115</v>
      </c>
      <c r="C15" s="195">
        <v>19065</v>
      </c>
      <c r="D15" s="195">
        <v>18538</v>
      </c>
      <c r="E15" s="195">
        <v>36220</v>
      </c>
      <c r="F15" s="195">
        <v>38567</v>
      </c>
      <c r="G15" s="195">
        <v>44157</v>
      </c>
      <c r="H15" s="195">
        <v>45857</v>
      </c>
      <c r="I15" s="212">
        <f t="shared" si="6"/>
        <v>3.8498992232262053E-2</v>
      </c>
      <c r="J15" s="194">
        <f t="shared" si="1"/>
        <v>1700</v>
      </c>
      <c r="K15" s="196">
        <f t="shared" si="2"/>
        <v>4.3420378613354391E-2</v>
      </c>
      <c r="N15" s="194" t="s">
        <v>115</v>
      </c>
      <c r="O15" s="195" t="e">
        <v>#REF!</v>
      </c>
      <c r="P15" s="195" t="e">
        <v>#REF!</v>
      </c>
      <c r="Q15" s="195" t="e">
        <v>#REF!</v>
      </c>
      <c r="R15" s="195" t="e">
        <v>#REF!</v>
      </c>
      <c r="S15" s="195" t="e">
        <v>#REF!</v>
      </c>
      <c r="T15" s="195" t="e">
        <v>#REF!</v>
      </c>
      <c r="U15" s="212" t="str">
        <f t="shared" si="7"/>
        <v>-</v>
      </c>
      <c r="V15" s="194" t="e">
        <f t="shared" si="5"/>
        <v>#REF!</v>
      </c>
      <c r="W15" s="196" t="e">
        <f t="shared" si="4"/>
        <v>#REF!</v>
      </c>
    </row>
    <row r="16" spans="1:23" x14ac:dyDescent="0.25">
      <c r="A16" s="1"/>
      <c r="B16" s="194" t="s">
        <v>118</v>
      </c>
      <c r="C16" s="195">
        <v>8578</v>
      </c>
      <c r="D16" s="195">
        <v>18624</v>
      </c>
      <c r="E16" s="195">
        <v>25472</v>
      </c>
      <c r="F16" s="195">
        <v>33505</v>
      </c>
      <c r="G16" s="195">
        <v>32694</v>
      </c>
      <c r="H16" s="195">
        <v>33687</v>
      </c>
      <c r="I16" s="212">
        <f t="shared" si="6"/>
        <v>3.0372545421178287E-2</v>
      </c>
      <c r="J16" s="194">
        <f t="shared" si="1"/>
        <v>993</v>
      </c>
      <c r="K16" s="196">
        <f t="shared" si="2"/>
        <v>3.1897034135422497E-2</v>
      </c>
      <c r="N16" s="194" t="s">
        <v>118</v>
      </c>
      <c r="O16" s="195" t="e">
        <v>#REF!</v>
      </c>
      <c r="P16" s="195" t="e">
        <v>#REF!</v>
      </c>
      <c r="Q16" s="195" t="e">
        <v>#REF!</v>
      </c>
      <c r="R16" s="195" t="e">
        <v>#REF!</v>
      </c>
      <c r="S16" s="195" t="e">
        <v>#REF!</v>
      </c>
      <c r="T16" s="195" t="e">
        <v>#REF!</v>
      </c>
      <c r="U16" s="212" t="str">
        <f t="shared" si="7"/>
        <v>-</v>
      </c>
      <c r="V16" s="194" t="e">
        <f t="shared" si="5"/>
        <v>#REF!</v>
      </c>
      <c r="W16" s="196" t="e">
        <f t="shared" si="4"/>
        <v>#REF!</v>
      </c>
    </row>
    <row r="17" spans="1:23" x14ac:dyDescent="0.25">
      <c r="A17" s="1"/>
      <c r="B17" s="194" t="s">
        <v>125</v>
      </c>
      <c r="C17" s="195">
        <v>11079</v>
      </c>
      <c r="D17" s="195">
        <v>17945</v>
      </c>
      <c r="E17" s="195">
        <v>40263</v>
      </c>
      <c r="F17" s="195">
        <v>39914</v>
      </c>
      <c r="G17" s="195">
        <v>40265</v>
      </c>
      <c r="H17" s="195">
        <v>36597</v>
      </c>
      <c r="I17" s="212">
        <f t="shared" si="6"/>
        <v>-9.1096485781696268E-2</v>
      </c>
      <c r="J17" s="194">
        <f t="shared" si="1"/>
        <v>-3668</v>
      </c>
      <c r="K17" s="196">
        <f t="shared" si="2"/>
        <v>3.4652410670408675E-2</v>
      </c>
      <c r="N17" s="194" t="s">
        <v>125</v>
      </c>
      <c r="O17" s="195" t="e">
        <v>#REF!</v>
      </c>
      <c r="P17" s="195" t="e">
        <v>#REF!</v>
      </c>
      <c r="Q17" s="195" t="e">
        <v>#REF!</v>
      </c>
      <c r="R17" s="195" t="e">
        <v>#REF!</v>
      </c>
      <c r="S17" s="195" t="e">
        <v>#REF!</v>
      </c>
      <c r="T17" s="195" t="e">
        <v>#REF!</v>
      </c>
      <c r="U17" s="212" t="str">
        <f t="shared" si="7"/>
        <v>-</v>
      </c>
      <c r="V17" s="194" t="e">
        <f t="shared" si="5"/>
        <v>#REF!</v>
      </c>
      <c r="W17" s="196" t="e">
        <f t="shared" si="4"/>
        <v>#REF!</v>
      </c>
    </row>
    <row r="18" spans="1:23" x14ac:dyDescent="0.25">
      <c r="A18" s="1"/>
      <c r="B18" s="194" t="s">
        <v>121</v>
      </c>
      <c r="C18" s="195">
        <v>5816</v>
      </c>
      <c r="D18" s="195">
        <v>6372</v>
      </c>
      <c r="E18" s="195">
        <v>12329</v>
      </c>
      <c r="F18" s="195">
        <v>13020</v>
      </c>
      <c r="G18" s="195">
        <v>13645</v>
      </c>
      <c r="H18" s="195">
        <v>12578</v>
      </c>
      <c r="I18" s="212">
        <f t="shared" si="6"/>
        <v>-7.8197141810186888E-2</v>
      </c>
      <c r="J18" s="194">
        <f t="shared" si="1"/>
        <v>-1067</v>
      </c>
      <c r="K18" s="196">
        <f t="shared" si="2"/>
        <v>1.1909665311703154E-2</v>
      </c>
      <c r="N18" s="194" t="s">
        <v>121</v>
      </c>
      <c r="O18" s="195" t="e">
        <v>#REF!</v>
      </c>
      <c r="P18" s="195" t="e">
        <v>#REF!</v>
      </c>
      <c r="Q18" s="195" t="e">
        <v>#REF!</v>
      </c>
      <c r="R18" s="195" t="e">
        <v>#REF!</v>
      </c>
      <c r="S18" s="195" t="e">
        <v>#REF!</v>
      </c>
      <c r="T18" s="195" t="e">
        <v>#REF!</v>
      </c>
      <c r="U18" s="212" t="str">
        <f t="shared" si="7"/>
        <v>-</v>
      </c>
      <c r="V18" s="194" t="e">
        <f t="shared" si="5"/>
        <v>#REF!</v>
      </c>
      <c r="W18" s="196" t="e">
        <f t="shared" si="4"/>
        <v>#REF!</v>
      </c>
    </row>
    <row r="19" spans="1:23" x14ac:dyDescent="0.25">
      <c r="A19" s="193" t="s">
        <v>146</v>
      </c>
      <c r="B19" s="194" t="s">
        <v>130</v>
      </c>
      <c r="C19" s="195">
        <v>10431</v>
      </c>
      <c r="D19" s="195">
        <v>4214</v>
      </c>
      <c r="E19" s="195">
        <v>15444</v>
      </c>
      <c r="F19" s="195">
        <v>17504</v>
      </c>
      <c r="G19" s="195">
        <v>15762</v>
      </c>
      <c r="H19" s="195">
        <v>16061</v>
      </c>
      <c r="I19" s="212">
        <f t="shared" si="6"/>
        <v>1.8969673899251305E-2</v>
      </c>
      <c r="J19" s="194">
        <f t="shared" si="1"/>
        <v>299</v>
      </c>
      <c r="K19" s="196">
        <f t="shared" si="2"/>
        <v>1.5207595370588675E-2</v>
      </c>
      <c r="N19" s="194" t="s">
        <v>130</v>
      </c>
      <c r="O19" s="195" t="e">
        <v>#REF!</v>
      </c>
      <c r="P19" s="195" t="e">
        <v>#REF!</v>
      </c>
      <c r="Q19" s="195" t="e">
        <v>#REF!</v>
      </c>
      <c r="R19" s="195" t="e">
        <v>#REF!</v>
      </c>
      <c r="S19" s="195" t="e">
        <v>#REF!</v>
      </c>
      <c r="T19" s="195" t="e">
        <v>#REF!</v>
      </c>
      <c r="U19" s="212" t="str">
        <f t="shared" si="7"/>
        <v>-</v>
      </c>
      <c r="V19" s="194" t="e">
        <f t="shared" si="5"/>
        <v>#REF!</v>
      </c>
      <c r="W19" s="196" t="e">
        <f t="shared" si="4"/>
        <v>#REF!</v>
      </c>
    </row>
    <row r="20" spans="1:23" x14ac:dyDescent="0.25">
      <c r="A20" s="198" t="s">
        <v>147</v>
      </c>
      <c r="B20" s="194" t="s">
        <v>133</v>
      </c>
      <c r="C20" s="195">
        <v>16376</v>
      </c>
      <c r="D20" s="195">
        <v>3146</v>
      </c>
      <c r="E20" s="195">
        <v>13206</v>
      </c>
      <c r="F20" s="195">
        <v>17170</v>
      </c>
      <c r="G20" s="195">
        <v>19122</v>
      </c>
      <c r="H20" s="195">
        <v>14362</v>
      </c>
      <c r="I20" s="212">
        <f t="shared" si="6"/>
        <v>-0.24892793640832545</v>
      </c>
      <c r="J20" s="194">
        <f t="shared" si="1"/>
        <v>-4760</v>
      </c>
      <c r="K20" s="196">
        <f t="shared" si="2"/>
        <v>1.3598872094663754E-2</v>
      </c>
      <c r="N20" s="194" t="s">
        <v>133</v>
      </c>
      <c r="O20" s="195" t="e">
        <v>#REF!</v>
      </c>
      <c r="P20" s="195" t="e">
        <v>#REF!</v>
      </c>
      <c r="Q20" s="195" t="e">
        <v>#REF!</v>
      </c>
      <c r="R20" s="195" t="e">
        <v>#REF!</v>
      </c>
      <c r="S20" s="195" t="e">
        <v>#REF!</v>
      </c>
      <c r="T20" s="195" t="e">
        <v>#REF!</v>
      </c>
      <c r="U20" s="212" t="str">
        <f t="shared" si="7"/>
        <v>-</v>
      </c>
      <c r="V20" s="194" t="e">
        <f t="shared" si="5"/>
        <v>#REF!</v>
      </c>
      <c r="W20" s="196" t="e">
        <f t="shared" si="4"/>
        <v>#REF!</v>
      </c>
    </row>
    <row r="21" spans="1:23" x14ac:dyDescent="0.25">
      <c r="B21" s="199" t="s">
        <v>147</v>
      </c>
      <c r="C21" s="200">
        <f t="shared" ref="C21" si="8">C13-SUM(C14:C20)</f>
        <v>78196</v>
      </c>
      <c r="D21" s="200">
        <f t="shared" ref="D21:H21" si="9">D13-SUM(D14:D20)</f>
        <v>91102</v>
      </c>
      <c r="E21" s="200">
        <f t="shared" si="9"/>
        <v>194511</v>
      </c>
      <c r="F21" s="200">
        <f t="shared" si="9"/>
        <v>206831</v>
      </c>
      <c r="G21" s="200">
        <f t="shared" si="9"/>
        <v>223774</v>
      </c>
      <c r="H21" s="200">
        <f t="shared" si="9"/>
        <v>242115</v>
      </c>
      <c r="I21" s="213">
        <f t="shared" si="6"/>
        <v>8.1962158248947592E-2</v>
      </c>
      <c r="J21" s="199">
        <f t="shared" si="1"/>
        <v>18341</v>
      </c>
      <c r="K21" s="201">
        <f t="shared" si="2"/>
        <v>0.22925016830521619</v>
      </c>
      <c r="N21" s="199" t="s">
        <v>147</v>
      </c>
      <c r="O21" s="200" t="e">
        <f t="shared" ref="O21:T21" si="10">O13-SUM(O14:O20)</f>
        <v>#REF!</v>
      </c>
      <c r="P21" s="200" t="e">
        <f t="shared" si="10"/>
        <v>#REF!</v>
      </c>
      <c r="Q21" s="200" t="e">
        <f t="shared" si="10"/>
        <v>#REF!</v>
      </c>
      <c r="R21" s="200" t="e">
        <f t="shared" si="10"/>
        <v>#REF!</v>
      </c>
      <c r="S21" s="200" t="e">
        <f t="shared" si="10"/>
        <v>#REF!</v>
      </c>
      <c r="T21" s="200" t="e">
        <f t="shared" si="10"/>
        <v>#REF!</v>
      </c>
      <c r="U21" s="213" t="str">
        <f t="shared" si="7"/>
        <v>-</v>
      </c>
      <c r="V21" s="199" t="e">
        <f>T21-S21</f>
        <v>#REF!</v>
      </c>
      <c r="W21" s="201" t="e">
        <f t="shared" si="4"/>
        <v>#REF!</v>
      </c>
    </row>
    <row r="22" spans="1:23" x14ac:dyDescent="0.25">
      <c r="B22" s="186" t="s">
        <v>46</v>
      </c>
      <c r="C22" s="184"/>
      <c r="D22" s="184"/>
      <c r="E22" s="184"/>
      <c r="F22" s="184"/>
      <c r="G22" s="184"/>
      <c r="H22" s="184"/>
      <c r="I22" s="185"/>
      <c r="J22" s="185"/>
      <c r="K22" s="184"/>
    </row>
    <row r="23" spans="1:23" x14ac:dyDescent="0.25">
      <c r="B23" s="187" t="s">
        <v>70</v>
      </c>
      <c r="C23" s="209">
        <f t="shared" ref="C23:H23" si="11">C24+C27</f>
        <v>88250</v>
      </c>
      <c r="D23" s="209">
        <f t="shared" si="11"/>
        <v>97019</v>
      </c>
      <c r="E23" s="209">
        <f t="shared" si="11"/>
        <v>214850</v>
      </c>
      <c r="F23" s="209">
        <f t="shared" si="11"/>
        <v>283761</v>
      </c>
      <c r="G23" s="209">
        <f t="shared" si="11"/>
        <v>302063</v>
      </c>
      <c r="H23" s="209">
        <f t="shared" si="11"/>
        <v>318520</v>
      </c>
      <c r="I23" s="210">
        <f>IFERROR(H23/G23-1,"-")</f>
        <v>5.4482012030602878E-2</v>
      </c>
      <c r="J23" s="209">
        <f>H23-G23</f>
        <v>16457</v>
      </c>
      <c r="K23" s="210">
        <f t="shared" ref="K23:K35" si="12">H23/H$9</f>
        <v>0.30159537248240487</v>
      </c>
    </row>
    <row r="24" spans="1:23" x14ac:dyDescent="0.25">
      <c r="B24" s="190" t="s">
        <v>99</v>
      </c>
      <c r="C24" s="191">
        <v>17005</v>
      </c>
      <c r="D24" s="191">
        <v>38428</v>
      </c>
      <c r="E24" s="191">
        <v>29790</v>
      </c>
      <c r="F24" s="191">
        <v>34248</v>
      </c>
      <c r="G24" s="191">
        <v>29936</v>
      </c>
      <c r="H24" s="191">
        <v>33002</v>
      </c>
      <c r="I24" s="211">
        <f>IFERROR(H24/G24-1,"-")</f>
        <v>0.10241849278460724</v>
      </c>
      <c r="J24" s="190">
        <f t="shared" ref="J24:J34" si="13">H24-G24</f>
        <v>3066</v>
      </c>
      <c r="K24" s="192">
        <f t="shared" si="12"/>
        <v>3.124843175519379E-2</v>
      </c>
    </row>
    <row r="25" spans="1:23" x14ac:dyDescent="0.25">
      <c r="B25" s="194" t="s">
        <v>105</v>
      </c>
      <c r="C25" s="195">
        <v>14753</v>
      </c>
      <c r="D25" s="195">
        <v>28348</v>
      </c>
      <c r="E25" s="195">
        <v>16435</v>
      </c>
      <c r="F25" s="195">
        <v>18342</v>
      </c>
      <c r="G25" s="195">
        <v>15127</v>
      </c>
      <c r="H25" s="195">
        <v>16149</v>
      </c>
      <c r="I25" s="212">
        <f>IFERROR(H25/G25-1,"-")</f>
        <v>6.7561314206386003E-2</v>
      </c>
      <c r="J25" s="194">
        <f t="shared" si="13"/>
        <v>1022</v>
      </c>
      <c r="K25" s="196">
        <f t="shared" si="12"/>
        <v>1.5290919471990318E-2</v>
      </c>
    </row>
    <row r="26" spans="1:23" x14ac:dyDescent="0.25">
      <c r="B26" s="194" t="s">
        <v>102</v>
      </c>
      <c r="C26" s="195">
        <v>2252</v>
      </c>
      <c r="D26" s="195">
        <v>10080</v>
      </c>
      <c r="E26" s="195">
        <v>13355</v>
      </c>
      <c r="F26" s="195">
        <v>15906</v>
      </c>
      <c r="G26" s="195">
        <v>14809</v>
      </c>
      <c r="H26" s="195">
        <v>16853</v>
      </c>
      <c r="I26" s="212">
        <f>IFERROR(H26/G26-1,"-")</f>
        <v>0.1380241744884867</v>
      </c>
      <c r="J26" s="194">
        <f t="shared" si="13"/>
        <v>2044</v>
      </c>
      <c r="K26" s="196">
        <f t="shared" si="12"/>
        <v>1.5957512283203471E-2</v>
      </c>
    </row>
    <row r="27" spans="1:23" x14ac:dyDescent="0.25">
      <c r="B27" s="190" t="s">
        <v>109</v>
      </c>
      <c r="C27" s="191">
        <v>71245</v>
      </c>
      <c r="D27" s="191">
        <v>58591</v>
      </c>
      <c r="E27" s="191">
        <v>185060</v>
      </c>
      <c r="F27" s="191">
        <v>249513</v>
      </c>
      <c r="G27" s="191">
        <v>272127</v>
      </c>
      <c r="H27" s="191">
        <v>285518</v>
      </c>
      <c r="I27" s="211">
        <f>IFERROR(H27/G27-1,"-")</f>
        <v>4.9208641553392329E-2</v>
      </c>
      <c r="J27" s="190">
        <f t="shared" si="13"/>
        <v>13391</v>
      </c>
      <c r="K27" s="192">
        <f t="shared" si="12"/>
        <v>0.2703469407272111</v>
      </c>
    </row>
    <row r="28" spans="1:23" x14ac:dyDescent="0.25">
      <c r="B28" s="194" t="s">
        <v>112</v>
      </c>
      <c r="C28" s="195">
        <v>37804</v>
      </c>
      <c r="D28" s="195">
        <v>19681</v>
      </c>
      <c r="E28" s="195">
        <v>100421</v>
      </c>
      <c r="F28" s="195">
        <v>143657</v>
      </c>
      <c r="G28" s="195">
        <v>163574</v>
      </c>
      <c r="H28" s="195">
        <v>178066</v>
      </c>
      <c r="I28" s="212">
        <f t="shared" ref="I28:I35" si="14">IFERROR(H28/G28-1,"-")</f>
        <v>8.8595987137320087E-2</v>
      </c>
      <c r="J28" s="194">
        <f t="shared" si="13"/>
        <v>14492</v>
      </c>
      <c r="K28" s="196">
        <f t="shared" si="12"/>
        <v>0.16860442545664922</v>
      </c>
    </row>
    <row r="29" spans="1:23" x14ac:dyDescent="0.25">
      <c r="B29" s="194" t="s">
        <v>115</v>
      </c>
      <c r="C29" s="195">
        <v>6205</v>
      </c>
      <c r="D29" s="195">
        <v>6103</v>
      </c>
      <c r="E29" s="195">
        <v>10588</v>
      </c>
      <c r="F29" s="195">
        <v>11713</v>
      </c>
      <c r="G29" s="195">
        <v>13264</v>
      </c>
      <c r="H29" s="195">
        <v>12202</v>
      </c>
      <c r="I29" s="212">
        <f t="shared" si="14"/>
        <v>-8.0066344993968586E-2</v>
      </c>
      <c r="J29" s="194">
        <f t="shared" si="13"/>
        <v>-1062</v>
      </c>
      <c r="K29" s="196">
        <f t="shared" si="12"/>
        <v>1.1553644151168857E-2</v>
      </c>
    </row>
    <row r="30" spans="1:23" x14ac:dyDescent="0.25">
      <c r="B30" s="194" t="s">
        <v>118</v>
      </c>
      <c r="C30" s="195">
        <v>2700</v>
      </c>
      <c r="D30" s="195">
        <v>5380</v>
      </c>
      <c r="E30" s="195">
        <v>8627</v>
      </c>
      <c r="F30" s="195">
        <v>15488</v>
      </c>
      <c r="G30" s="195">
        <v>13632</v>
      </c>
      <c r="H30" s="195">
        <v>9826</v>
      </c>
      <c r="I30" s="212">
        <f t="shared" si="14"/>
        <v>-0.27919600938967137</v>
      </c>
      <c r="J30" s="194">
        <f t="shared" si="13"/>
        <v>-3806</v>
      </c>
      <c r="K30" s="196">
        <f t="shared" si="12"/>
        <v>9.3038934133244707E-3</v>
      </c>
    </row>
    <row r="31" spans="1:23" x14ac:dyDescent="0.25">
      <c r="B31" s="194" t="s">
        <v>125</v>
      </c>
      <c r="C31" s="195">
        <v>2616</v>
      </c>
      <c r="D31" s="195">
        <v>4015</v>
      </c>
      <c r="E31" s="195">
        <v>10032</v>
      </c>
      <c r="F31" s="195">
        <v>11229</v>
      </c>
      <c r="G31" s="195">
        <v>8871</v>
      </c>
      <c r="H31" s="195">
        <v>8148</v>
      </c>
      <c r="I31" s="212">
        <f t="shared" si="14"/>
        <v>-8.1501521812647915E-2</v>
      </c>
      <c r="J31" s="194">
        <f t="shared" si="13"/>
        <v>-723</v>
      </c>
      <c r="K31" s="196">
        <f t="shared" si="12"/>
        <v>7.7150542979613056E-3</v>
      </c>
    </row>
    <row r="32" spans="1:23" x14ac:dyDescent="0.25">
      <c r="B32" s="194" t="s">
        <v>121</v>
      </c>
      <c r="C32" s="195">
        <v>1883</v>
      </c>
      <c r="D32" s="195">
        <v>2218</v>
      </c>
      <c r="E32" s="195">
        <v>3993</v>
      </c>
      <c r="F32" s="195">
        <v>4351</v>
      </c>
      <c r="G32" s="195">
        <v>4237</v>
      </c>
      <c r="H32" s="195">
        <v>3630</v>
      </c>
      <c r="I32" s="212">
        <f t="shared" si="14"/>
        <v>-0.14326174179844231</v>
      </c>
      <c r="J32" s="194">
        <f t="shared" si="13"/>
        <v>-607</v>
      </c>
      <c r="K32" s="196">
        <f t="shared" si="12"/>
        <v>3.4371191828178127E-3</v>
      </c>
    </row>
    <row r="33" spans="2:11" x14ac:dyDescent="0.25">
      <c r="B33" s="194" t="s">
        <v>130</v>
      </c>
      <c r="C33" s="195">
        <v>1995</v>
      </c>
      <c r="D33" s="195">
        <v>500</v>
      </c>
      <c r="E33" s="195">
        <v>1916</v>
      </c>
      <c r="F33" s="195">
        <v>2732</v>
      </c>
      <c r="G33" s="195">
        <v>2220</v>
      </c>
      <c r="H33" s="195">
        <v>2482</v>
      </c>
      <c r="I33" s="212">
        <f t="shared" si="14"/>
        <v>0.11801801801801792</v>
      </c>
      <c r="J33" s="194">
        <f t="shared" si="13"/>
        <v>262</v>
      </c>
      <c r="K33" s="196">
        <f t="shared" si="12"/>
        <v>2.3501184054418212E-3</v>
      </c>
    </row>
    <row r="34" spans="2:11" x14ac:dyDescent="0.25">
      <c r="B34" s="194" t="s">
        <v>133</v>
      </c>
      <c r="C34" s="195">
        <v>1716</v>
      </c>
      <c r="D34" s="195">
        <v>304</v>
      </c>
      <c r="E34" s="195">
        <v>1145</v>
      </c>
      <c r="F34" s="195">
        <v>2224</v>
      </c>
      <c r="G34" s="195">
        <v>2374</v>
      </c>
      <c r="H34" s="195">
        <v>1556</v>
      </c>
      <c r="I34" s="212">
        <f t="shared" si="14"/>
        <v>-0.34456613310867734</v>
      </c>
      <c r="J34" s="194">
        <f t="shared" si="13"/>
        <v>-818</v>
      </c>
      <c r="K34" s="196">
        <f t="shared" si="12"/>
        <v>1.4733216111472499E-3</v>
      </c>
    </row>
    <row r="35" spans="2:11" x14ac:dyDescent="0.25">
      <c r="B35" s="199" t="s">
        <v>147</v>
      </c>
      <c r="C35" s="200">
        <f t="shared" ref="C35" si="15">C27-SUM(C28:C34)</f>
        <v>16326</v>
      </c>
      <c r="D35" s="200">
        <f t="shared" ref="D35:H35" si="16">D27-SUM(D28:D34)</f>
        <v>20390</v>
      </c>
      <c r="E35" s="200">
        <f t="shared" si="16"/>
        <v>48338</v>
      </c>
      <c r="F35" s="200">
        <f t="shared" si="16"/>
        <v>58119</v>
      </c>
      <c r="G35" s="200">
        <f t="shared" si="16"/>
        <v>63955</v>
      </c>
      <c r="H35" s="200">
        <f t="shared" si="16"/>
        <v>69608</v>
      </c>
      <c r="I35" s="213">
        <f t="shared" si="14"/>
        <v>8.8390274411695779E-2</v>
      </c>
      <c r="J35" s="199">
        <f>H35-G35</f>
        <v>5653</v>
      </c>
      <c r="K35" s="201">
        <f t="shared" si="12"/>
        <v>6.5909364208700361E-2</v>
      </c>
    </row>
    <row r="36" spans="2:11" x14ac:dyDescent="0.25">
      <c r="B36" s="186" t="s">
        <v>47</v>
      </c>
      <c r="C36" s="184"/>
      <c r="D36" s="184"/>
      <c r="E36" s="184"/>
      <c r="F36" s="184"/>
      <c r="G36" s="184"/>
      <c r="H36" s="184"/>
      <c r="I36" s="185"/>
      <c r="J36" s="185"/>
      <c r="K36" s="184"/>
    </row>
    <row r="37" spans="2:11" x14ac:dyDescent="0.25">
      <c r="B37" s="187" t="s">
        <v>70</v>
      </c>
      <c r="C37" s="209">
        <f t="shared" ref="C37:H37" si="17">C38+C41</f>
        <v>140135</v>
      </c>
      <c r="D37" s="209">
        <f t="shared" si="17"/>
        <v>166233</v>
      </c>
      <c r="E37" s="209">
        <f t="shared" si="17"/>
        <v>409026</v>
      </c>
      <c r="F37" s="209">
        <f t="shared" si="17"/>
        <v>422543</v>
      </c>
      <c r="G37" s="209">
        <f t="shared" si="17"/>
        <v>439267</v>
      </c>
      <c r="H37" s="209">
        <f t="shared" si="17"/>
        <v>456477</v>
      </c>
      <c r="I37" s="210">
        <f>IFERROR(H37/G37-1,"-")</f>
        <v>3.9178904857410268E-2</v>
      </c>
      <c r="J37" s="209">
        <f>H37-G37</f>
        <v>17210</v>
      </c>
      <c r="K37" s="210">
        <f t="shared" ref="K37:K49" si="18">H37/H$9</f>
        <v>0.43222199813088891</v>
      </c>
    </row>
    <row r="38" spans="2:11" x14ac:dyDescent="0.25">
      <c r="B38" s="190" t="s">
        <v>99</v>
      </c>
      <c r="C38" s="191">
        <v>21721</v>
      </c>
      <c r="D38" s="191">
        <v>39821</v>
      </c>
      <c r="E38" s="191">
        <v>37415</v>
      </c>
      <c r="F38" s="191">
        <v>34012</v>
      </c>
      <c r="G38" s="191">
        <v>29879</v>
      </c>
      <c r="H38" s="191">
        <v>34002</v>
      </c>
      <c r="I38" s="211">
        <f>IFERROR(H38/G38-1,"-")</f>
        <v>0.13798989256668559</v>
      </c>
      <c r="J38" s="190">
        <f t="shared" ref="J38:J48" si="19">H38-G38</f>
        <v>4123</v>
      </c>
      <c r="K38" s="192">
        <f t="shared" si="18"/>
        <v>3.2195296543848832E-2</v>
      </c>
    </row>
    <row r="39" spans="2:11" x14ac:dyDescent="0.25">
      <c r="B39" s="194" t="s">
        <v>105</v>
      </c>
      <c r="C39" s="195">
        <v>17094</v>
      </c>
      <c r="D39" s="195">
        <v>31853</v>
      </c>
      <c r="E39" s="195">
        <v>27660</v>
      </c>
      <c r="F39" s="195">
        <v>20787</v>
      </c>
      <c r="G39" s="195">
        <v>16933</v>
      </c>
      <c r="H39" s="195">
        <v>19408</v>
      </c>
      <c r="I39" s="212">
        <f>IFERROR(H39/G39-1,"-")</f>
        <v>0.14616429457272773</v>
      </c>
      <c r="J39" s="194">
        <f t="shared" si="19"/>
        <v>2475</v>
      </c>
      <c r="K39" s="196">
        <f t="shared" si="18"/>
        <v>1.8376751818217109E-2</v>
      </c>
    </row>
    <row r="40" spans="2:11" x14ac:dyDescent="0.25">
      <c r="B40" s="194" t="s">
        <v>102</v>
      </c>
      <c r="C40" s="195">
        <v>4627</v>
      </c>
      <c r="D40" s="195">
        <v>7968</v>
      </c>
      <c r="E40" s="195">
        <v>9755</v>
      </c>
      <c r="F40" s="195">
        <v>13225</v>
      </c>
      <c r="G40" s="195">
        <v>12946</v>
      </c>
      <c r="H40" s="195">
        <v>14594</v>
      </c>
      <c r="I40" s="212">
        <f>IFERROR(H40/G40-1,"-")</f>
        <v>0.12729800710644223</v>
      </c>
      <c r="J40" s="194">
        <f t="shared" si="19"/>
        <v>1648</v>
      </c>
      <c r="K40" s="196">
        <f t="shared" si="18"/>
        <v>1.3818544725631725E-2</v>
      </c>
    </row>
    <row r="41" spans="2:11" x14ac:dyDescent="0.25">
      <c r="B41" s="190" t="s">
        <v>109</v>
      </c>
      <c r="C41" s="191">
        <v>118414</v>
      </c>
      <c r="D41" s="191">
        <v>126412</v>
      </c>
      <c r="E41" s="191">
        <v>371611</v>
      </c>
      <c r="F41" s="191">
        <v>388531</v>
      </c>
      <c r="G41" s="191">
        <v>409388</v>
      </c>
      <c r="H41" s="191">
        <v>422475</v>
      </c>
      <c r="I41" s="211">
        <f>IFERROR(H41/G41-1,"-")</f>
        <v>3.1967229132265684E-2</v>
      </c>
      <c r="J41" s="190">
        <f t="shared" si="19"/>
        <v>13087</v>
      </c>
      <c r="K41" s="192">
        <f t="shared" si="18"/>
        <v>0.40002670158704007</v>
      </c>
    </row>
    <row r="42" spans="2:11" x14ac:dyDescent="0.25">
      <c r="B42" s="194" t="s">
        <v>112</v>
      </c>
      <c r="C42" s="195">
        <v>47514</v>
      </c>
      <c r="D42" s="195">
        <v>36674</v>
      </c>
      <c r="E42" s="195">
        <v>198252</v>
      </c>
      <c r="F42" s="195">
        <v>220036</v>
      </c>
      <c r="G42" s="195">
        <v>232788</v>
      </c>
      <c r="H42" s="195">
        <v>241048</v>
      </c>
      <c r="I42" s="212">
        <f t="shared" ref="I42:I49" si="20">IFERROR(H42/G42-1,"-")</f>
        <v>3.5482928673299385E-2</v>
      </c>
      <c r="J42" s="194">
        <f t="shared" si="19"/>
        <v>8260</v>
      </c>
      <c r="K42" s="196">
        <f t="shared" si="18"/>
        <v>0.22823986357572126</v>
      </c>
    </row>
    <row r="43" spans="2:11" x14ac:dyDescent="0.25">
      <c r="B43" s="194" t="s">
        <v>115</v>
      </c>
      <c r="C43" s="195">
        <v>3928</v>
      </c>
      <c r="D43" s="195">
        <v>5613</v>
      </c>
      <c r="E43" s="195">
        <v>8802</v>
      </c>
      <c r="F43" s="195">
        <v>9005</v>
      </c>
      <c r="G43" s="195">
        <v>9946</v>
      </c>
      <c r="H43" s="195">
        <v>11852</v>
      </c>
      <c r="I43" s="212">
        <f t="shared" si="20"/>
        <v>0.19163482807158649</v>
      </c>
      <c r="J43" s="194">
        <f t="shared" si="19"/>
        <v>1906</v>
      </c>
      <c r="K43" s="196">
        <f t="shared" si="18"/>
        <v>1.1222241475139592E-2</v>
      </c>
    </row>
    <row r="44" spans="2:11" x14ac:dyDescent="0.25">
      <c r="B44" s="194" t="s">
        <v>118</v>
      </c>
      <c r="C44" s="195">
        <v>3014</v>
      </c>
      <c r="D44" s="195">
        <v>8325</v>
      </c>
      <c r="E44" s="195">
        <v>8019</v>
      </c>
      <c r="F44" s="195">
        <v>7889</v>
      </c>
      <c r="G44" s="195">
        <v>8088</v>
      </c>
      <c r="H44" s="195">
        <v>8712</v>
      </c>
      <c r="I44" s="212">
        <f t="shared" si="20"/>
        <v>7.71513353115727E-2</v>
      </c>
      <c r="J44" s="194">
        <f t="shared" si="19"/>
        <v>624</v>
      </c>
      <c r="K44" s="196">
        <f t="shared" si="18"/>
        <v>8.2490860387627509E-3</v>
      </c>
    </row>
    <row r="45" spans="2:11" x14ac:dyDescent="0.25">
      <c r="B45" s="194" t="s">
        <v>125</v>
      </c>
      <c r="C45" s="195">
        <v>6236</v>
      </c>
      <c r="D45" s="195">
        <v>11223</v>
      </c>
      <c r="E45" s="195">
        <v>23160</v>
      </c>
      <c r="F45" s="195">
        <v>21824</v>
      </c>
      <c r="G45" s="195">
        <v>22232</v>
      </c>
      <c r="H45" s="195">
        <v>20744</v>
      </c>
      <c r="I45" s="212">
        <f t="shared" si="20"/>
        <v>-6.6930550557754542E-2</v>
      </c>
      <c r="J45" s="194">
        <f t="shared" si="19"/>
        <v>-1488</v>
      </c>
      <c r="K45" s="196">
        <f t="shared" si="18"/>
        <v>1.964176317586025E-2</v>
      </c>
    </row>
    <row r="46" spans="2:11" x14ac:dyDescent="0.25">
      <c r="B46" s="194" t="s">
        <v>121</v>
      </c>
      <c r="C46" s="195">
        <v>2573</v>
      </c>
      <c r="D46" s="195">
        <v>3512</v>
      </c>
      <c r="E46" s="195">
        <v>6301</v>
      </c>
      <c r="F46" s="195">
        <v>6642</v>
      </c>
      <c r="G46" s="195">
        <v>7196</v>
      </c>
      <c r="H46" s="195">
        <v>6857</v>
      </c>
      <c r="I46" s="212">
        <f t="shared" si="20"/>
        <v>-4.7109505280711561E-2</v>
      </c>
      <c r="J46" s="194">
        <f t="shared" si="19"/>
        <v>-339</v>
      </c>
      <c r="K46" s="196">
        <f t="shared" si="18"/>
        <v>6.4926518558076421E-3</v>
      </c>
    </row>
    <row r="47" spans="2:11" x14ac:dyDescent="0.25">
      <c r="B47" s="194" t="s">
        <v>130</v>
      </c>
      <c r="C47" s="195">
        <v>6298</v>
      </c>
      <c r="D47" s="195">
        <v>3096</v>
      </c>
      <c r="E47" s="195">
        <v>10092</v>
      </c>
      <c r="F47" s="195">
        <v>10634</v>
      </c>
      <c r="G47" s="195">
        <v>9878</v>
      </c>
      <c r="H47" s="195">
        <v>9202</v>
      </c>
      <c r="I47" s="212">
        <f t="shared" si="20"/>
        <v>-6.8434905851386896E-2</v>
      </c>
      <c r="J47" s="194">
        <f t="shared" si="19"/>
        <v>-676</v>
      </c>
      <c r="K47" s="196">
        <f t="shared" si="18"/>
        <v>8.713049785203722E-3</v>
      </c>
    </row>
    <row r="48" spans="2:11" x14ac:dyDescent="0.25">
      <c r="B48" s="194" t="s">
        <v>133</v>
      </c>
      <c r="C48" s="195">
        <v>10937</v>
      </c>
      <c r="D48" s="195">
        <v>2353</v>
      </c>
      <c r="E48" s="195">
        <v>9292</v>
      </c>
      <c r="F48" s="195">
        <v>10637</v>
      </c>
      <c r="G48" s="195">
        <v>11100</v>
      </c>
      <c r="H48" s="195">
        <v>8279</v>
      </c>
      <c r="I48" s="212">
        <f t="shared" si="20"/>
        <v>-0.2541441441441441</v>
      </c>
      <c r="J48" s="194">
        <f t="shared" si="19"/>
        <v>-2821</v>
      </c>
      <c r="K48" s="196">
        <f t="shared" si="18"/>
        <v>7.8390935852751167E-3</v>
      </c>
    </row>
    <row r="49" spans="2:11" x14ac:dyDescent="0.25">
      <c r="B49" s="199" t="s">
        <v>147</v>
      </c>
      <c r="C49" s="200">
        <f t="shared" ref="C49" si="21">C41-SUM(C42:C48)</f>
        <v>37914</v>
      </c>
      <c r="D49" s="200">
        <f t="shared" ref="D49:H49" si="22">D41-SUM(D42:D48)</f>
        <v>55616</v>
      </c>
      <c r="E49" s="200">
        <f t="shared" si="22"/>
        <v>107693</v>
      </c>
      <c r="F49" s="200">
        <f t="shared" si="22"/>
        <v>101864</v>
      </c>
      <c r="G49" s="200">
        <f t="shared" si="22"/>
        <v>108160</v>
      </c>
      <c r="H49" s="200">
        <f t="shared" si="22"/>
        <v>115781</v>
      </c>
      <c r="I49" s="213">
        <f t="shared" si="20"/>
        <v>7.0460428994082891E-2</v>
      </c>
      <c r="J49" s="199">
        <f>H49-G49</f>
        <v>7621</v>
      </c>
      <c r="K49" s="201">
        <f t="shared" si="18"/>
        <v>0.10962895209526975</v>
      </c>
    </row>
    <row r="50" spans="2:11" x14ac:dyDescent="0.25">
      <c r="B50" s="186" t="s">
        <v>48</v>
      </c>
      <c r="C50" s="184"/>
      <c r="D50" s="184"/>
      <c r="E50" s="184"/>
      <c r="F50" s="184"/>
      <c r="G50" s="184"/>
      <c r="H50" s="184"/>
      <c r="I50" s="185"/>
      <c r="J50" s="185"/>
      <c r="K50" s="184"/>
    </row>
    <row r="51" spans="2:11" x14ac:dyDescent="0.25">
      <c r="B51" s="187" t="s">
        <v>70</v>
      </c>
      <c r="C51" s="209">
        <f t="shared" ref="C51:H51" si="23">IFERROR(C52+C55,"nd")</f>
        <v>1878</v>
      </c>
      <c r="D51" s="209">
        <f t="shared" si="23"/>
        <v>0</v>
      </c>
      <c r="E51" s="209">
        <f t="shared" si="23"/>
        <v>0</v>
      </c>
      <c r="F51" s="209">
        <f t="shared" si="23"/>
        <v>0</v>
      </c>
      <c r="G51" s="209">
        <f t="shared" si="23"/>
        <v>0</v>
      </c>
      <c r="H51" s="209">
        <f t="shared" si="23"/>
        <v>0</v>
      </c>
      <c r="I51" s="210" t="str">
        <f>IFERROR(H51/G51-1,"-")</f>
        <v>-</v>
      </c>
      <c r="J51" s="209">
        <f>H51-G51</f>
        <v>0</v>
      </c>
      <c r="K51" s="210">
        <f t="shared" ref="K51:K63" si="24">H51/H$9</f>
        <v>0</v>
      </c>
    </row>
    <row r="52" spans="2:11" x14ac:dyDescent="0.25">
      <c r="B52" s="190" t="s">
        <v>99</v>
      </c>
      <c r="C52" s="191">
        <v>350</v>
      </c>
      <c r="D52" s="191">
        <v>0</v>
      </c>
      <c r="E52" s="191">
        <v>0</v>
      </c>
      <c r="F52" s="191">
        <v>0</v>
      </c>
      <c r="G52" s="191">
        <v>0</v>
      </c>
      <c r="H52" s="191">
        <v>0</v>
      </c>
      <c r="I52" s="211" t="str">
        <f>IFERROR(H52/G52-1,"-")</f>
        <v>-</v>
      </c>
      <c r="J52" s="190">
        <f t="shared" ref="J52:J62" si="25">H52-G52</f>
        <v>0</v>
      </c>
      <c r="K52" s="192">
        <f t="shared" si="24"/>
        <v>0</v>
      </c>
    </row>
    <row r="53" spans="2:11" x14ac:dyDescent="0.25">
      <c r="B53" s="194" t="s">
        <v>105</v>
      </c>
      <c r="C53" s="195">
        <v>171</v>
      </c>
      <c r="D53" s="195">
        <v>0</v>
      </c>
      <c r="E53" s="195">
        <v>0</v>
      </c>
      <c r="F53" s="195">
        <v>0</v>
      </c>
      <c r="G53" s="195">
        <v>0</v>
      </c>
      <c r="H53" s="195">
        <v>0</v>
      </c>
      <c r="I53" s="212" t="str">
        <f>IFERROR(H53/G53-1,"-")</f>
        <v>-</v>
      </c>
      <c r="J53" s="194">
        <f t="shared" si="25"/>
        <v>0</v>
      </c>
      <c r="K53" s="196">
        <f t="shared" si="24"/>
        <v>0</v>
      </c>
    </row>
    <row r="54" spans="2:11" x14ac:dyDescent="0.25">
      <c r="B54" s="194" t="s">
        <v>102</v>
      </c>
      <c r="C54" s="195">
        <v>179</v>
      </c>
      <c r="D54" s="195">
        <v>0</v>
      </c>
      <c r="E54" s="195">
        <v>0</v>
      </c>
      <c r="F54" s="195">
        <v>0</v>
      </c>
      <c r="G54" s="195">
        <v>0</v>
      </c>
      <c r="H54" s="195">
        <v>0</v>
      </c>
      <c r="I54" s="212" t="str">
        <f>IFERROR(H54/G54-1,"-")</f>
        <v>-</v>
      </c>
      <c r="J54" s="194">
        <f t="shared" si="25"/>
        <v>0</v>
      </c>
      <c r="K54" s="196">
        <f t="shared" si="24"/>
        <v>0</v>
      </c>
    </row>
    <row r="55" spans="2:11" x14ac:dyDescent="0.25">
      <c r="B55" s="190" t="s">
        <v>109</v>
      </c>
      <c r="C55" s="191">
        <v>1528</v>
      </c>
      <c r="D55" s="191">
        <v>0</v>
      </c>
      <c r="E55" s="191">
        <v>0</v>
      </c>
      <c r="F55" s="191">
        <v>0</v>
      </c>
      <c r="G55" s="191">
        <v>0</v>
      </c>
      <c r="H55" s="191">
        <v>0</v>
      </c>
      <c r="I55" s="211" t="str">
        <f>IFERROR(H55/G55-1,"-")</f>
        <v>-</v>
      </c>
      <c r="J55" s="190">
        <f t="shared" si="25"/>
        <v>0</v>
      </c>
      <c r="K55" s="192">
        <f t="shared" si="24"/>
        <v>0</v>
      </c>
    </row>
    <row r="56" spans="2:11" x14ac:dyDescent="0.25">
      <c r="B56" s="194" t="s">
        <v>112</v>
      </c>
      <c r="C56" s="195">
        <v>596</v>
      </c>
      <c r="D56" s="195">
        <v>0</v>
      </c>
      <c r="E56" s="195">
        <v>0</v>
      </c>
      <c r="F56" s="195">
        <v>0</v>
      </c>
      <c r="G56" s="195">
        <v>0</v>
      </c>
      <c r="H56" s="195">
        <v>0</v>
      </c>
      <c r="I56" s="212" t="str">
        <f t="shared" ref="I56:I63" si="26">IFERROR(H56/G56-1,"-")</f>
        <v>-</v>
      </c>
      <c r="J56" s="194">
        <f t="shared" si="25"/>
        <v>0</v>
      </c>
      <c r="K56" s="196">
        <f t="shared" si="24"/>
        <v>0</v>
      </c>
    </row>
    <row r="57" spans="2:11" x14ac:dyDescent="0.25">
      <c r="B57" s="194" t="s">
        <v>115</v>
      </c>
      <c r="C57" s="195">
        <v>89</v>
      </c>
      <c r="D57" s="195">
        <v>0</v>
      </c>
      <c r="E57" s="195">
        <v>0</v>
      </c>
      <c r="F57" s="195">
        <v>0</v>
      </c>
      <c r="G57" s="195">
        <v>0</v>
      </c>
      <c r="H57" s="195">
        <v>0</v>
      </c>
      <c r="I57" s="212" t="str">
        <f t="shared" si="26"/>
        <v>-</v>
      </c>
      <c r="J57" s="194">
        <f t="shared" si="25"/>
        <v>0</v>
      </c>
      <c r="K57" s="196">
        <f t="shared" si="24"/>
        <v>0</v>
      </c>
    </row>
    <row r="58" spans="2:11" x14ac:dyDescent="0.25">
      <c r="B58" s="194" t="s">
        <v>118</v>
      </c>
      <c r="C58" s="195">
        <v>56</v>
      </c>
      <c r="D58" s="195">
        <v>0</v>
      </c>
      <c r="E58" s="195">
        <v>0</v>
      </c>
      <c r="F58" s="195">
        <v>0</v>
      </c>
      <c r="G58" s="195">
        <v>0</v>
      </c>
      <c r="H58" s="195">
        <v>0</v>
      </c>
      <c r="I58" s="212" t="str">
        <f t="shared" si="26"/>
        <v>-</v>
      </c>
      <c r="J58" s="194">
        <f t="shared" si="25"/>
        <v>0</v>
      </c>
      <c r="K58" s="196">
        <f t="shared" si="24"/>
        <v>0</v>
      </c>
    </row>
    <row r="59" spans="2:11" x14ac:dyDescent="0.25">
      <c r="B59" s="194" t="s">
        <v>125</v>
      </c>
      <c r="C59" s="195">
        <v>13</v>
      </c>
      <c r="D59" s="195">
        <v>0</v>
      </c>
      <c r="E59" s="195">
        <v>0</v>
      </c>
      <c r="F59" s="195">
        <v>0</v>
      </c>
      <c r="G59" s="195">
        <v>0</v>
      </c>
      <c r="H59" s="195">
        <v>0</v>
      </c>
      <c r="I59" s="212" t="str">
        <f t="shared" si="26"/>
        <v>-</v>
      </c>
      <c r="J59" s="194">
        <f t="shared" si="25"/>
        <v>0</v>
      </c>
      <c r="K59" s="196">
        <f t="shared" si="24"/>
        <v>0</v>
      </c>
    </row>
    <row r="60" spans="2:11" x14ac:dyDescent="0.25">
      <c r="B60" s="194" t="s">
        <v>121</v>
      </c>
      <c r="C60" s="195">
        <v>52</v>
      </c>
      <c r="D60" s="195">
        <v>0</v>
      </c>
      <c r="E60" s="195">
        <v>0</v>
      </c>
      <c r="F60" s="195">
        <v>0</v>
      </c>
      <c r="G60" s="195">
        <v>0</v>
      </c>
      <c r="H60" s="195">
        <v>0</v>
      </c>
      <c r="I60" s="212" t="str">
        <f t="shared" si="26"/>
        <v>-</v>
      </c>
      <c r="J60" s="194">
        <f t="shared" si="25"/>
        <v>0</v>
      </c>
      <c r="K60" s="196">
        <f t="shared" si="24"/>
        <v>0</v>
      </c>
    </row>
    <row r="61" spans="2:11" x14ac:dyDescent="0.25">
      <c r="B61" s="194" t="s">
        <v>130</v>
      </c>
      <c r="C61" s="195">
        <v>60</v>
      </c>
      <c r="D61" s="195">
        <v>0</v>
      </c>
      <c r="E61" s="195">
        <v>0</v>
      </c>
      <c r="F61" s="195">
        <v>0</v>
      </c>
      <c r="G61" s="195">
        <v>0</v>
      </c>
      <c r="H61" s="195">
        <v>0</v>
      </c>
      <c r="I61" s="212" t="str">
        <f t="shared" si="26"/>
        <v>-</v>
      </c>
      <c r="J61" s="194">
        <f t="shared" si="25"/>
        <v>0</v>
      </c>
      <c r="K61" s="196">
        <f t="shared" si="24"/>
        <v>0</v>
      </c>
    </row>
    <row r="62" spans="2:11" x14ac:dyDescent="0.25">
      <c r="B62" s="194" t="s">
        <v>133</v>
      </c>
      <c r="C62" s="195">
        <v>96</v>
      </c>
      <c r="D62" s="195">
        <v>0</v>
      </c>
      <c r="E62" s="195">
        <v>0</v>
      </c>
      <c r="F62" s="195">
        <v>0</v>
      </c>
      <c r="G62" s="195">
        <v>0</v>
      </c>
      <c r="H62" s="195">
        <v>0</v>
      </c>
      <c r="I62" s="212" t="str">
        <f t="shared" si="26"/>
        <v>-</v>
      </c>
      <c r="J62" s="194">
        <f t="shared" si="25"/>
        <v>0</v>
      </c>
      <c r="K62" s="196">
        <f t="shared" si="24"/>
        <v>0</v>
      </c>
    </row>
    <row r="63" spans="2:11" x14ac:dyDescent="0.25">
      <c r="B63" s="199" t="s">
        <v>147</v>
      </c>
      <c r="C63" s="200">
        <f t="shared" ref="C63:H63" si="27">IFERROR(C55-SUM(C56:C62),"nd")</f>
        <v>566</v>
      </c>
      <c r="D63" s="200">
        <f t="shared" si="27"/>
        <v>0</v>
      </c>
      <c r="E63" s="200">
        <f t="shared" si="27"/>
        <v>0</v>
      </c>
      <c r="F63" s="200">
        <f t="shared" si="27"/>
        <v>0</v>
      </c>
      <c r="G63" s="200">
        <f t="shared" si="27"/>
        <v>0</v>
      </c>
      <c r="H63" s="200">
        <f t="shared" si="27"/>
        <v>0</v>
      </c>
      <c r="I63" s="213" t="str">
        <f t="shared" si="26"/>
        <v>-</v>
      </c>
      <c r="J63" s="199">
        <f>H63-G63</f>
        <v>0</v>
      </c>
      <c r="K63" s="201">
        <f t="shared" si="24"/>
        <v>0</v>
      </c>
    </row>
    <row r="64" spans="2:11" x14ac:dyDescent="0.25">
      <c r="B64" s="186" t="s">
        <v>49</v>
      </c>
      <c r="C64" s="184"/>
      <c r="D64" s="184"/>
      <c r="E64" s="184"/>
      <c r="F64" s="184"/>
      <c r="G64" s="184"/>
      <c r="H64" s="184"/>
      <c r="I64" s="185"/>
      <c r="J64" s="185"/>
      <c r="K64" s="184"/>
    </row>
    <row r="65" spans="2:11" x14ac:dyDescent="0.25">
      <c r="B65" s="187" t="s">
        <v>70</v>
      </c>
      <c r="C65" s="209" t="str">
        <f t="shared" ref="C65:H65" si="28">IFERROR(C66+C69,"nd")</f>
        <v>nd</v>
      </c>
      <c r="D65" s="209" t="str">
        <f t="shared" si="28"/>
        <v>nd</v>
      </c>
      <c r="E65" s="209" t="str">
        <f t="shared" si="28"/>
        <v>nd</v>
      </c>
      <c r="F65" s="209" t="str">
        <f t="shared" si="28"/>
        <v>nd</v>
      </c>
      <c r="G65" s="209" t="str">
        <f t="shared" si="28"/>
        <v>nd</v>
      </c>
      <c r="H65" s="209" t="str">
        <f t="shared" si="28"/>
        <v>nd</v>
      </c>
      <c r="I65" s="210" t="str">
        <f>IFERROR(H65/G65-1,"-")</f>
        <v>-</v>
      </c>
      <c r="J65" s="209" t="str">
        <f>IFERROR(H65-G65,"-")</f>
        <v>-</v>
      </c>
      <c r="K65" s="210" t="str">
        <f>IFERROR(H65/H$9,"-")</f>
        <v>-</v>
      </c>
    </row>
    <row r="66" spans="2:11" x14ac:dyDescent="0.25">
      <c r="B66" s="190" t="s">
        <v>99</v>
      </c>
      <c r="C66" s="191" t="s">
        <v>321</v>
      </c>
      <c r="D66" s="191" t="s">
        <v>321</v>
      </c>
      <c r="E66" s="191" t="s">
        <v>321</v>
      </c>
      <c r="F66" s="191" t="s">
        <v>321</v>
      </c>
      <c r="G66" s="191" t="s">
        <v>321</v>
      </c>
      <c r="H66" s="191" t="s">
        <v>321</v>
      </c>
      <c r="I66" s="211" t="str">
        <f>IFERROR(H66/G66-1,"-")</f>
        <v>-</v>
      </c>
      <c r="J66" s="214" t="str">
        <f t="shared" ref="J66:J77" si="29">IFERROR(H66-G66,"-")</f>
        <v>-</v>
      </c>
      <c r="K66" s="192" t="str">
        <f t="shared" ref="K66:K77" si="30">IFERROR(H66/H$9,"-")</f>
        <v>-</v>
      </c>
    </row>
    <row r="67" spans="2:11" x14ac:dyDescent="0.25">
      <c r="B67" s="194" t="s">
        <v>105</v>
      </c>
      <c r="C67" s="195" t="s">
        <v>321</v>
      </c>
      <c r="D67" s="195" t="s">
        <v>321</v>
      </c>
      <c r="E67" s="195" t="s">
        <v>321</v>
      </c>
      <c r="F67" s="195" t="s">
        <v>321</v>
      </c>
      <c r="G67" s="195" t="s">
        <v>321</v>
      </c>
      <c r="H67" s="195" t="s">
        <v>321</v>
      </c>
      <c r="I67" s="212" t="str">
        <f>IFERROR(H67/G67-1,"-")</f>
        <v>-</v>
      </c>
      <c r="J67" s="215" t="str">
        <f t="shared" si="29"/>
        <v>-</v>
      </c>
      <c r="K67" s="196" t="str">
        <f t="shared" si="30"/>
        <v>-</v>
      </c>
    </row>
    <row r="68" spans="2:11" x14ac:dyDescent="0.25">
      <c r="B68" s="194" t="s">
        <v>102</v>
      </c>
      <c r="C68" s="195" t="s">
        <v>321</v>
      </c>
      <c r="D68" s="195" t="s">
        <v>321</v>
      </c>
      <c r="E68" s="195" t="s">
        <v>321</v>
      </c>
      <c r="F68" s="195" t="s">
        <v>321</v>
      </c>
      <c r="G68" s="195" t="s">
        <v>321</v>
      </c>
      <c r="H68" s="195" t="s">
        <v>321</v>
      </c>
      <c r="I68" s="212" t="str">
        <f>IFERROR(H68/G68-1,"-")</f>
        <v>-</v>
      </c>
      <c r="J68" s="215" t="str">
        <f t="shared" si="29"/>
        <v>-</v>
      </c>
      <c r="K68" s="196" t="str">
        <f t="shared" si="30"/>
        <v>-</v>
      </c>
    </row>
    <row r="69" spans="2:11" x14ac:dyDescent="0.25">
      <c r="B69" s="190" t="s">
        <v>109</v>
      </c>
      <c r="C69" s="191" t="s">
        <v>321</v>
      </c>
      <c r="D69" s="191" t="s">
        <v>321</v>
      </c>
      <c r="E69" s="191" t="s">
        <v>321</v>
      </c>
      <c r="F69" s="191" t="s">
        <v>321</v>
      </c>
      <c r="G69" s="191" t="s">
        <v>321</v>
      </c>
      <c r="H69" s="191" t="s">
        <v>321</v>
      </c>
      <c r="I69" s="211" t="str">
        <f>IFERROR(H69/G69-1,"-")</f>
        <v>-</v>
      </c>
      <c r="J69" s="214" t="str">
        <f t="shared" si="29"/>
        <v>-</v>
      </c>
      <c r="K69" s="192" t="str">
        <f t="shared" si="30"/>
        <v>-</v>
      </c>
    </row>
    <row r="70" spans="2:11" x14ac:dyDescent="0.25">
      <c r="B70" s="194" t="s">
        <v>112</v>
      </c>
      <c r="C70" s="195" t="s">
        <v>321</v>
      </c>
      <c r="D70" s="195" t="s">
        <v>321</v>
      </c>
      <c r="E70" s="195" t="s">
        <v>321</v>
      </c>
      <c r="F70" s="195" t="s">
        <v>321</v>
      </c>
      <c r="G70" s="195" t="s">
        <v>321</v>
      </c>
      <c r="H70" s="195" t="s">
        <v>321</v>
      </c>
      <c r="I70" s="212" t="str">
        <f t="shared" ref="I70:I77" si="31">IFERROR(H70/G70-1,"-")</f>
        <v>-</v>
      </c>
      <c r="J70" s="215" t="str">
        <f t="shared" si="29"/>
        <v>-</v>
      </c>
      <c r="K70" s="196" t="str">
        <f t="shared" si="30"/>
        <v>-</v>
      </c>
    </row>
    <row r="71" spans="2:11" x14ac:dyDescent="0.25">
      <c r="B71" s="194" t="s">
        <v>115</v>
      </c>
      <c r="C71" s="195" t="s">
        <v>321</v>
      </c>
      <c r="D71" s="195" t="s">
        <v>321</v>
      </c>
      <c r="E71" s="195" t="s">
        <v>321</v>
      </c>
      <c r="F71" s="195" t="s">
        <v>321</v>
      </c>
      <c r="G71" s="195" t="s">
        <v>321</v>
      </c>
      <c r="H71" s="195" t="s">
        <v>321</v>
      </c>
      <c r="I71" s="212" t="str">
        <f t="shared" si="31"/>
        <v>-</v>
      </c>
      <c r="J71" s="215" t="str">
        <f t="shared" si="29"/>
        <v>-</v>
      </c>
      <c r="K71" s="196" t="str">
        <f t="shared" si="30"/>
        <v>-</v>
      </c>
    </row>
    <row r="72" spans="2:11" x14ac:dyDescent="0.25">
      <c r="B72" s="194" t="s">
        <v>118</v>
      </c>
      <c r="C72" s="195" t="s">
        <v>321</v>
      </c>
      <c r="D72" s="195" t="s">
        <v>321</v>
      </c>
      <c r="E72" s="195" t="s">
        <v>321</v>
      </c>
      <c r="F72" s="195" t="s">
        <v>321</v>
      </c>
      <c r="G72" s="195" t="s">
        <v>321</v>
      </c>
      <c r="H72" s="195" t="s">
        <v>321</v>
      </c>
      <c r="I72" s="212" t="str">
        <f t="shared" si="31"/>
        <v>-</v>
      </c>
      <c r="J72" s="215" t="str">
        <f t="shared" si="29"/>
        <v>-</v>
      </c>
      <c r="K72" s="196" t="str">
        <f t="shared" si="30"/>
        <v>-</v>
      </c>
    </row>
    <row r="73" spans="2:11" x14ac:dyDescent="0.25">
      <c r="B73" s="194" t="s">
        <v>125</v>
      </c>
      <c r="C73" s="195" t="s">
        <v>321</v>
      </c>
      <c r="D73" s="195" t="s">
        <v>321</v>
      </c>
      <c r="E73" s="195" t="s">
        <v>321</v>
      </c>
      <c r="F73" s="195" t="s">
        <v>321</v>
      </c>
      <c r="G73" s="195" t="s">
        <v>321</v>
      </c>
      <c r="H73" s="195" t="s">
        <v>321</v>
      </c>
      <c r="I73" s="212" t="str">
        <f t="shared" si="31"/>
        <v>-</v>
      </c>
      <c r="J73" s="215" t="str">
        <f t="shared" si="29"/>
        <v>-</v>
      </c>
      <c r="K73" s="196" t="str">
        <f t="shared" si="30"/>
        <v>-</v>
      </c>
    </row>
    <row r="74" spans="2:11" x14ac:dyDescent="0.25">
      <c r="B74" s="194" t="s">
        <v>121</v>
      </c>
      <c r="C74" s="195" t="s">
        <v>321</v>
      </c>
      <c r="D74" s="195" t="s">
        <v>321</v>
      </c>
      <c r="E74" s="195" t="s">
        <v>321</v>
      </c>
      <c r="F74" s="195" t="s">
        <v>321</v>
      </c>
      <c r="G74" s="195" t="s">
        <v>321</v>
      </c>
      <c r="H74" s="195" t="s">
        <v>321</v>
      </c>
      <c r="I74" s="212" t="str">
        <f t="shared" si="31"/>
        <v>-</v>
      </c>
      <c r="J74" s="215" t="str">
        <f t="shared" si="29"/>
        <v>-</v>
      </c>
      <c r="K74" s="196" t="str">
        <f t="shared" si="30"/>
        <v>-</v>
      </c>
    </row>
    <row r="75" spans="2:11" x14ac:dyDescent="0.25">
      <c r="B75" s="194" t="s">
        <v>130</v>
      </c>
      <c r="C75" s="195" t="s">
        <v>321</v>
      </c>
      <c r="D75" s="195" t="s">
        <v>321</v>
      </c>
      <c r="E75" s="195" t="s">
        <v>321</v>
      </c>
      <c r="F75" s="195" t="s">
        <v>321</v>
      </c>
      <c r="G75" s="195" t="s">
        <v>321</v>
      </c>
      <c r="H75" s="195" t="s">
        <v>321</v>
      </c>
      <c r="I75" s="212" t="str">
        <f t="shared" si="31"/>
        <v>-</v>
      </c>
      <c r="J75" s="215" t="str">
        <f t="shared" si="29"/>
        <v>-</v>
      </c>
      <c r="K75" s="196" t="str">
        <f t="shared" si="30"/>
        <v>-</v>
      </c>
    </row>
    <row r="76" spans="2:11" x14ac:dyDescent="0.25">
      <c r="B76" s="194" t="s">
        <v>133</v>
      </c>
      <c r="C76" s="195" t="s">
        <v>321</v>
      </c>
      <c r="D76" s="195" t="s">
        <v>321</v>
      </c>
      <c r="E76" s="195" t="s">
        <v>321</v>
      </c>
      <c r="F76" s="195" t="s">
        <v>321</v>
      </c>
      <c r="G76" s="195" t="s">
        <v>321</v>
      </c>
      <c r="H76" s="195" t="s">
        <v>321</v>
      </c>
      <c r="I76" s="212" t="str">
        <f t="shared" si="31"/>
        <v>-</v>
      </c>
      <c r="J76" s="215" t="str">
        <f t="shared" si="29"/>
        <v>-</v>
      </c>
      <c r="K76" s="196" t="str">
        <f t="shared" si="30"/>
        <v>-</v>
      </c>
    </row>
    <row r="77" spans="2:11" x14ac:dyDescent="0.25">
      <c r="B77" s="199" t="s">
        <v>147</v>
      </c>
      <c r="C77" s="200" t="str">
        <f t="shared" ref="C77:H77" si="32">IFERROR(C69-SUM(C70:C76),"nd")</f>
        <v>nd</v>
      </c>
      <c r="D77" s="200" t="str">
        <f t="shared" si="32"/>
        <v>nd</v>
      </c>
      <c r="E77" s="200" t="str">
        <f t="shared" si="32"/>
        <v>nd</v>
      </c>
      <c r="F77" s="200" t="str">
        <f t="shared" si="32"/>
        <v>nd</v>
      </c>
      <c r="G77" s="200" t="str">
        <f t="shared" si="32"/>
        <v>nd</v>
      </c>
      <c r="H77" s="200" t="str">
        <f t="shared" si="32"/>
        <v>nd</v>
      </c>
      <c r="I77" s="213" t="str">
        <f t="shared" si="31"/>
        <v>-</v>
      </c>
      <c r="J77" s="216" t="str">
        <f t="shared" si="29"/>
        <v>-</v>
      </c>
      <c r="K77" s="201" t="str">
        <f t="shared" si="30"/>
        <v>-</v>
      </c>
    </row>
    <row r="78" spans="2:11" x14ac:dyDescent="0.25">
      <c r="B78" s="186" t="s">
        <v>50</v>
      </c>
      <c r="C78" s="184"/>
      <c r="D78" s="184"/>
      <c r="E78" s="184"/>
      <c r="F78" s="184"/>
      <c r="G78" s="184"/>
      <c r="H78" s="184"/>
      <c r="I78" s="185"/>
      <c r="J78" s="185"/>
      <c r="K78" s="184"/>
    </row>
    <row r="79" spans="2:11" x14ac:dyDescent="0.25">
      <c r="B79" s="187" t="s">
        <v>70</v>
      </c>
      <c r="C79" s="209">
        <f t="shared" ref="C79:H79" si="33">IFERROR(C80+C83,"nd")</f>
        <v>37921</v>
      </c>
      <c r="D79" s="209">
        <f t="shared" si="33"/>
        <v>51841</v>
      </c>
      <c r="E79" s="209">
        <f t="shared" si="33"/>
        <v>112935</v>
      </c>
      <c r="F79" s="209">
        <f t="shared" si="33"/>
        <v>123146</v>
      </c>
      <c r="G79" s="209">
        <f t="shared" si="33"/>
        <v>149424</v>
      </c>
      <c r="H79" s="209">
        <f t="shared" si="33"/>
        <v>165023</v>
      </c>
      <c r="I79" s="210">
        <f>IFERROR(H79/G79-1,"-")</f>
        <v>0.10439420708855329</v>
      </c>
      <c r="J79" s="209">
        <f>IFERROR(H79-G79,"-")</f>
        <v>15599</v>
      </c>
      <c r="K79" s="210">
        <f>IFERROR(H79/H$9,"-")</f>
        <v>0.15625446801822146</v>
      </c>
    </row>
    <row r="80" spans="2:11" x14ac:dyDescent="0.25">
      <c r="B80" s="190" t="s">
        <v>99</v>
      </c>
      <c r="C80" s="191">
        <v>14468</v>
      </c>
      <c r="D80" s="191">
        <v>29694</v>
      </c>
      <c r="E80" s="191">
        <v>56214</v>
      </c>
      <c r="F80" s="191">
        <v>57185</v>
      </c>
      <c r="G80" s="191">
        <v>75127</v>
      </c>
      <c r="H80" s="191">
        <v>82270</v>
      </c>
      <c r="I80" s="211">
        <f>IFERROR(H80/G80-1,"-")</f>
        <v>9.5078999560743727E-2</v>
      </c>
      <c r="J80" s="214">
        <f t="shared" ref="J80:J91" si="34">IFERROR(H80-G80,"-")</f>
        <v>7143</v>
      </c>
      <c r="K80" s="192">
        <f t="shared" ref="K80:K91" si="35">IFERROR(H80/H$9,"-")</f>
        <v>7.7898566162650534E-2</v>
      </c>
    </row>
    <row r="81" spans="2:11" x14ac:dyDescent="0.25">
      <c r="B81" s="194" t="s">
        <v>105</v>
      </c>
      <c r="C81" s="195">
        <v>5002</v>
      </c>
      <c r="D81" s="195">
        <v>15704</v>
      </c>
      <c r="E81" s="195">
        <v>27935</v>
      </c>
      <c r="F81" s="195">
        <v>29457</v>
      </c>
      <c r="G81" s="195">
        <v>30608</v>
      </c>
      <c r="H81" s="195">
        <v>27833</v>
      </c>
      <c r="I81" s="212">
        <f>IFERROR(H81/G81-1,"-")</f>
        <v>-9.0662571876633513E-2</v>
      </c>
      <c r="J81" s="215">
        <f t="shared" si="34"/>
        <v>-2775</v>
      </c>
      <c r="K81" s="196">
        <f t="shared" si="35"/>
        <v>2.6354087662635865E-2</v>
      </c>
    </row>
    <row r="82" spans="2:11" x14ac:dyDescent="0.25">
      <c r="B82" s="194" t="s">
        <v>102</v>
      </c>
      <c r="C82" s="195">
        <v>9466</v>
      </c>
      <c r="D82" s="195">
        <v>13990</v>
      </c>
      <c r="E82" s="195">
        <v>28279</v>
      </c>
      <c r="F82" s="195">
        <v>27728</v>
      </c>
      <c r="G82" s="195">
        <v>44519</v>
      </c>
      <c r="H82" s="195">
        <v>54437</v>
      </c>
      <c r="I82" s="212">
        <f>IFERROR(H82/G82-1,"-")</f>
        <v>0.22278128439542666</v>
      </c>
      <c r="J82" s="215">
        <f t="shared" si="34"/>
        <v>9918</v>
      </c>
      <c r="K82" s="196">
        <f t="shared" si="35"/>
        <v>5.1544478500014673E-2</v>
      </c>
    </row>
    <row r="83" spans="2:11" x14ac:dyDescent="0.25">
      <c r="B83" s="190" t="s">
        <v>109</v>
      </c>
      <c r="C83" s="191">
        <v>23453</v>
      </c>
      <c r="D83" s="191">
        <v>22147</v>
      </c>
      <c r="E83" s="191">
        <v>56721</v>
      </c>
      <c r="F83" s="191">
        <v>65961</v>
      </c>
      <c r="G83" s="191">
        <v>74297</v>
      </c>
      <c r="H83" s="191">
        <v>82753</v>
      </c>
      <c r="I83" s="211">
        <f>IFERROR(H83/G83-1,"-")</f>
        <v>0.11381347833694488</v>
      </c>
      <c r="J83" s="214">
        <f t="shared" si="34"/>
        <v>8456</v>
      </c>
      <c r="K83" s="192">
        <f t="shared" si="35"/>
        <v>7.8355901855570925E-2</v>
      </c>
    </row>
    <row r="84" spans="2:11" x14ac:dyDescent="0.25">
      <c r="B84" s="194" t="s">
        <v>112</v>
      </c>
      <c r="C84" s="195">
        <v>2138</v>
      </c>
      <c r="D84" s="195">
        <v>1386</v>
      </c>
      <c r="E84" s="195">
        <v>7920</v>
      </c>
      <c r="F84" s="195">
        <v>10037</v>
      </c>
      <c r="G84" s="195">
        <v>12389</v>
      </c>
      <c r="H84" s="195">
        <v>12664</v>
      </c>
      <c r="I84" s="212">
        <f t="shared" ref="I84:I91" si="36">IFERROR(H84/G84-1,"-")</f>
        <v>2.2197110339817527E-2</v>
      </c>
      <c r="J84" s="215">
        <f t="shared" si="34"/>
        <v>275</v>
      </c>
      <c r="K84" s="196">
        <f t="shared" si="35"/>
        <v>1.1991095683527488E-2</v>
      </c>
    </row>
    <row r="85" spans="2:11" x14ac:dyDescent="0.25">
      <c r="B85" s="194" t="s">
        <v>115</v>
      </c>
      <c r="C85" s="195">
        <v>5311</v>
      </c>
      <c r="D85" s="195">
        <v>5504</v>
      </c>
      <c r="E85" s="195">
        <v>12173</v>
      </c>
      <c r="F85" s="195">
        <v>12179</v>
      </c>
      <c r="G85" s="195">
        <v>14664</v>
      </c>
      <c r="H85" s="195">
        <v>15915</v>
      </c>
      <c r="I85" s="212">
        <f t="shared" si="36"/>
        <v>8.5310965630114532E-2</v>
      </c>
      <c r="J85" s="215">
        <f t="shared" si="34"/>
        <v>1251</v>
      </c>
      <c r="K85" s="196">
        <f t="shared" si="35"/>
        <v>1.506935311144504E-2</v>
      </c>
    </row>
    <row r="86" spans="2:11" x14ac:dyDescent="0.25">
      <c r="B86" s="194" t="s">
        <v>118</v>
      </c>
      <c r="C86" s="195">
        <v>1163</v>
      </c>
      <c r="D86" s="195">
        <v>2858</v>
      </c>
      <c r="E86" s="195">
        <v>4154</v>
      </c>
      <c r="F86" s="195">
        <v>4180</v>
      </c>
      <c r="G86" s="195">
        <v>5101</v>
      </c>
      <c r="H86" s="195">
        <v>9028</v>
      </c>
      <c r="I86" s="212">
        <f t="shared" si="36"/>
        <v>0.76984904920603814</v>
      </c>
      <c r="J86" s="215">
        <f t="shared" si="34"/>
        <v>3927</v>
      </c>
      <c r="K86" s="196">
        <f t="shared" si="35"/>
        <v>8.5482953119777449E-3</v>
      </c>
    </row>
    <row r="87" spans="2:11" x14ac:dyDescent="0.25">
      <c r="B87" s="194" t="s">
        <v>125</v>
      </c>
      <c r="C87" s="195">
        <v>391</v>
      </c>
      <c r="D87" s="195">
        <v>1215</v>
      </c>
      <c r="E87" s="195">
        <v>4355</v>
      </c>
      <c r="F87" s="195">
        <v>4323</v>
      </c>
      <c r="G87" s="195">
        <v>4948</v>
      </c>
      <c r="H87" s="195">
        <v>2773</v>
      </c>
      <c r="I87" s="212">
        <f t="shared" si="36"/>
        <v>-0.43957154405820531</v>
      </c>
      <c r="J87" s="215">
        <f t="shared" si="34"/>
        <v>-2175</v>
      </c>
      <c r="K87" s="196">
        <f t="shared" si="35"/>
        <v>2.6256560589404394E-3</v>
      </c>
    </row>
    <row r="88" spans="2:11" x14ac:dyDescent="0.25">
      <c r="B88" s="194" t="s">
        <v>121</v>
      </c>
      <c r="C88" s="195">
        <v>191</v>
      </c>
      <c r="D88" s="195">
        <v>340</v>
      </c>
      <c r="E88" s="195">
        <v>662</v>
      </c>
      <c r="F88" s="195">
        <v>542</v>
      </c>
      <c r="G88" s="195">
        <v>759</v>
      </c>
      <c r="H88" s="195">
        <v>808</v>
      </c>
      <c r="I88" s="212">
        <f t="shared" si="36"/>
        <v>6.4558629776021004E-2</v>
      </c>
      <c r="J88" s="215">
        <f t="shared" si="34"/>
        <v>49</v>
      </c>
      <c r="K88" s="196">
        <f t="shared" si="35"/>
        <v>7.6506674923327623E-4</v>
      </c>
    </row>
    <row r="89" spans="2:11" x14ac:dyDescent="0.25">
      <c r="B89" s="194" t="s">
        <v>130</v>
      </c>
      <c r="C89" s="195">
        <v>1329</v>
      </c>
      <c r="D89" s="195">
        <v>506</v>
      </c>
      <c r="E89" s="195">
        <v>2876</v>
      </c>
      <c r="F89" s="195">
        <v>3502</v>
      </c>
      <c r="G89" s="195">
        <v>2730</v>
      </c>
      <c r="H89" s="195">
        <v>3060</v>
      </c>
      <c r="I89" s="212">
        <f t="shared" si="36"/>
        <v>0.12087912087912089</v>
      </c>
      <c r="J89" s="215">
        <f t="shared" si="34"/>
        <v>330</v>
      </c>
      <c r="K89" s="196">
        <f t="shared" si="35"/>
        <v>2.8974062532844372E-3</v>
      </c>
    </row>
    <row r="90" spans="2:11" x14ac:dyDescent="0.25">
      <c r="B90" s="194" t="s">
        <v>133</v>
      </c>
      <c r="C90" s="195">
        <v>2424</v>
      </c>
      <c r="D90" s="195">
        <v>446</v>
      </c>
      <c r="E90" s="195">
        <v>2290</v>
      </c>
      <c r="F90" s="195">
        <v>3780</v>
      </c>
      <c r="G90" s="195">
        <v>3496</v>
      </c>
      <c r="H90" s="195">
        <v>2401</v>
      </c>
      <c r="I90" s="212">
        <f t="shared" si="36"/>
        <v>-0.31321510297482835</v>
      </c>
      <c r="J90" s="215">
        <f t="shared" si="34"/>
        <v>-1095</v>
      </c>
      <c r="K90" s="196">
        <f t="shared" si="35"/>
        <v>2.2734223575607629E-3</v>
      </c>
    </row>
    <row r="91" spans="2:11" x14ac:dyDescent="0.25">
      <c r="B91" s="199" t="s">
        <v>147</v>
      </c>
      <c r="C91" s="200">
        <f t="shared" ref="C91:H91" si="37">IFERROR(C83-SUM(C84:C90),"nd")</f>
        <v>10506</v>
      </c>
      <c r="D91" s="200">
        <f t="shared" si="37"/>
        <v>9892</v>
      </c>
      <c r="E91" s="200">
        <f t="shared" si="37"/>
        <v>22291</v>
      </c>
      <c r="F91" s="200">
        <f t="shared" si="37"/>
        <v>27418</v>
      </c>
      <c r="G91" s="200">
        <f t="shared" si="37"/>
        <v>30210</v>
      </c>
      <c r="H91" s="200">
        <f t="shared" si="37"/>
        <v>36104</v>
      </c>
      <c r="I91" s="213">
        <f t="shared" si="36"/>
        <v>0.19510095994703747</v>
      </c>
      <c r="J91" s="216">
        <f t="shared" si="34"/>
        <v>5894</v>
      </c>
      <c r="K91" s="201">
        <f t="shared" si="35"/>
        <v>3.4185606329601742E-2</v>
      </c>
    </row>
    <row r="92" spans="2:11" x14ac:dyDescent="0.25">
      <c r="B92" s="186" t="s">
        <v>51</v>
      </c>
      <c r="C92" s="184"/>
      <c r="D92" s="184"/>
      <c r="E92" s="184"/>
      <c r="F92" s="184"/>
      <c r="G92" s="184"/>
      <c r="H92" s="184"/>
      <c r="I92" s="185"/>
      <c r="J92" s="185"/>
      <c r="K92" s="184"/>
    </row>
    <row r="93" spans="2:11" x14ac:dyDescent="0.25">
      <c r="B93" s="187" t="s">
        <v>70</v>
      </c>
      <c r="C93" s="209" t="str">
        <f t="shared" ref="C93:H93" si="38">IFERROR(C94+C97,"nd")</f>
        <v>nd</v>
      </c>
      <c r="D93" s="209" t="str">
        <f t="shared" si="38"/>
        <v>nd</v>
      </c>
      <c r="E93" s="209" t="str">
        <f t="shared" si="38"/>
        <v>nd</v>
      </c>
      <c r="F93" s="209" t="str">
        <f t="shared" si="38"/>
        <v>nd</v>
      </c>
      <c r="G93" s="209" t="str">
        <f t="shared" si="38"/>
        <v>nd</v>
      </c>
      <c r="H93" s="209" t="str">
        <f t="shared" si="38"/>
        <v>nd</v>
      </c>
      <c r="I93" s="210" t="str">
        <f>IFERROR(H93/G93-1,"-")</f>
        <v>-</v>
      </c>
      <c r="J93" s="209" t="str">
        <f>IFERROR(H93-G93,"-")</f>
        <v>-</v>
      </c>
      <c r="K93" s="210" t="str">
        <f>IFERROR(H93/H$9,"-")</f>
        <v>-</v>
      </c>
    </row>
    <row r="94" spans="2:11" x14ac:dyDescent="0.25">
      <c r="B94" s="190" t="s">
        <v>99</v>
      </c>
      <c r="C94" s="191" t="s">
        <v>321</v>
      </c>
      <c r="D94" s="191" t="s">
        <v>321</v>
      </c>
      <c r="E94" s="191" t="s">
        <v>321</v>
      </c>
      <c r="F94" s="191" t="s">
        <v>321</v>
      </c>
      <c r="G94" s="191" t="s">
        <v>321</v>
      </c>
      <c r="H94" s="191" t="s">
        <v>321</v>
      </c>
      <c r="I94" s="211" t="str">
        <f>IFERROR(H94/G94-1,"-")</f>
        <v>-</v>
      </c>
      <c r="J94" s="214" t="str">
        <f t="shared" ref="J94:J105" si="39">IFERROR(H94-G94,"-")</f>
        <v>-</v>
      </c>
      <c r="K94" s="192" t="str">
        <f t="shared" ref="K94:K105" si="40">IFERROR(H94/H$9,"-")</f>
        <v>-</v>
      </c>
    </row>
    <row r="95" spans="2:11" x14ac:dyDescent="0.25">
      <c r="B95" s="194" t="s">
        <v>105</v>
      </c>
      <c r="C95" s="195" t="s">
        <v>321</v>
      </c>
      <c r="D95" s="195" t="s">
        <v>321</v>
      </c>
      <c r="E95" s="195" t="s">
        <v>321</v>
      </c>
      <c r="F95" s="195" t="s">
        <v>321</v>
      </c>
      <c r="G95" s="195" t="s">
        <v>321</v>
      </c>
      <c r="H95" s="195" t="s">
        <v>321</v>
      </c>
      <c r="I95" s="212" t="str">
        <f>IFERROR(H95/G95-1,"-")</f>
        <v>-</v>
      </c>
      <c r="J95" s="215" t="str">
        <f t="shared" si="39"/>
        <v>-</v>
      </c>
      <c r="K95" s="196" t="str">
        <f t="shared" si="40"/>
        <v>-</v>
      </c>
    </row>
    <row r="96" spans="2:11" x14ac:dyDescent="0.25">
      <c r="B96" s="194" t="s">
        <v>102</v>
      </c>
      <c r="C96" s="195" t="s">
        <v>321</v>
      </c>
      <c r="D96" s="195" t="s">
        <v>321</v>
      </c>
      <c r="E96" s="195" t="s">
        <v>321</v>
      </c>
      <c r="F96" s="195" t="s">
        <v>321</v>
      </c>
      <c r="G96" s="195" t="s">
        <v>321</v>
      </c>
      <c r="H96" s="195" t="s">
        <v>321</v>
      </c>
      <c r="I96" s="212" t="str">
        <f>IFERROR(H96/G96-1,"-")</f>
        <v>-</v>
      </c>
      <c r="J96" s="215" t="str">
        <f t="shared" si="39"/>
        <v>-</v>
      </c>
      <c r="K96" s="196" t="str">
        <f t="shared" si="40"/>
        <v>-</v>
      </c>
    </row>
    <row r="97" spans="2:11" x14ac:dyDescent="0.25">
      <c r="B97" s="190" t="s">
        <v>109</v>
      </c>
      <c r="C97" s="191" t="s">
        <v>321</v>
      </c>
      <c r="D97" s="191" t="s">
        <v>321</v>
      </c>
      <c r="E97" s="191" t="s">
        <v>321</v>
      </c>
      <c r="F97" s="191" t="s">
        <v>321</v>
      </c>
      <c r="G97" s="191" t="s">
        <v>321</v>
      </c>
      <c r="H97" s="191" t="s">
        <v>321</v>
      </c>
      <c r="I97" s="211" t="str">
        <f>IFERROR(H97/G97-1,"-")</f>
        <v>-</v>
      </c>
      <c r="J97" s="214" t="str">
        <f t="shared" si="39"/>
        <v>-</v>
      </c>
      <c r="K97" s="192" t="str">
        <f t="shared" si="40"/>
        <v>-</v>
      </c>
    </row>
    <row r="98" spans="2:11" x14ac:dyDescent="0.25">
      <c r="B98" s="194" t="s">
        <v>112</v>
      </c>
      <c r="C98" s="195" t="s">
        <v>321</v>
      </c>
      <c r="D98" s="195" t="s">
        <v>321</v>
      </c>
      <c r="E98" s="195" t="s">
        <v>321</v>
      </c>
      <c r="F98" s="195" t="s">
        <v>321</v>
      </c>
      <c r="G98" s="195" t="s">
        <v>321</v>
      </c>
      <c r="H98" s="195" t="s">
        <v>321</v>
      </c>
      <c r="I98" s="212" t="str">
        <f t="shared" ref="I98:I105" si="41">IFERROR(H98/G98-1,"-")</f>
        <v>-</v>
      </c>
      <c r="J98" s="215" t="str">
        <f t="shared" si="39"/>
        <v>-</v>
      </c>
      <c r="K98" s="196" t="str">
        <f t="shared" si="40"/>
        <v>-</v>
      </c>
    </row>
    <row r="99" spans="2:11" x14ac:dyDescent="0.25">
      <c r="B99" s="194" t="s">
        <v>115</v>
      </c>
      <c r="C99" s="195" t="s">
        <v>321</v>
      </c>
      <c r="D99" s="195" t="s">
        <v>321</v>
      </c>
      <c r="E99" s="195" t="s">
        <v>321</v>
      </c>
      <c r="F99" s="195" t="s">
        <v>321</v>
      </c>
      <c r="G99" s="195" t="s">
        <v>321</v>
      </c>
      <c r="H99" s="195" t="s">
        <v>321</v>
      </c>
      <c r="I99" s="212" t="str">
        <f t="shared" si="41"/>
        <v>-</v>
      </c>
      <c r="J99" s="215" t="str">
        <f t="shared" si="39"/>
        <v>-</v>
      </c>
      <c r="K99" s="196" t="str">
        <f t="shared" si="40"/>
        <v>-</v>
      </c>
    </row>
    <row r="100" spans="2:11" x14ac:dyDescent="0.25">
      <c r="B100" s="194" t="s">
        <v>118</v>
      </c>
      <c r="C100" s="195" t="s">
        <v>321</v>
      </c>
      <c r="D100" s="195" t="s">
        <v>321</v>
      </c>
      <c r="E100" s="195" t="s">
        <v>321</v>
      </c>
      <c r="F100" s="195" t="s">
        <v>321</v>
      </c>
      <c r="G100" s="195" t="s">
        <v>321</v>
      </c>
      <c r="H100" s="195" t="s">
        <v>321</v>
      </c>
      <c r="I100" s="212" t="str">
        <f t="shared" si="41"/>
        <v>-</v>
      </c>
      <c r="J100" s="215" t="str">
        <f t="shared" si="39"/>
        <v>-</v>
      </c>
      <c r="K100" s="196" t="str">
        <f t="shared" si="40"/>
        <v>-</v>
      </c>
    </row>
    <row r="101" spans="2:11" x14ac:dyDescent="0.25">
      <c r="B101" s="194" t="s">
        <v>125</v>
      </c>
      <c r="C101" s="195" t="s">
        <v>321</v>
      </c>
      <c r="D101" s="195" t="s">
        <v>321</v>
      </c>
      <c r="E101" s="195" t="s">
        <v>321</v>
      </c>
      <c r="F101" s="195" t="s">
        <v>321</v>
      </c>
      <c r="G101" s="195" t="s">
        <v>321</v>
      </c>
      <c r="H101" s="195" t="s">
        <v>321</v>
      </c>
      <c r="I101" s="212" t="str">
        <f t="shared" si="41"/>
        <v>-</v>
      </c>
      <c r="J101" s="215" t="str">
        <f t="shared" si="39"/>
        <v>-</v>
      </c>
      <c r="K101" s="196" t="str">
        <f t="shared" si="40"/>
        <v>-</v>
      </c>
    </row>
    <row r="102" spans="2:11" x14ac:dyDescent="0.25">
      <c r="B102" s="194" t="s">
        <v>121</v>
      </c>
      <c r="C102" s="195" t="s">
        <v>321</v>
      </c>
      <c r="D102" s="195" t="s">
        <v>321</v>
      </c>
      <c r="E102" s="195" t="s">
        <v>321</v>
      </c>
      <c r="F102" s="195" t="s">
        <v>321</v>
      </c>
      <c r="G102" s="195" t="s">
        <v>321</v>
      </c>
      <c r="H102" s="195" t="s">
        <v>321</v>
      </c>
      <c r="I102" s="212" t="str">
        <f t="shared" si="41"/>
        <v>-</v>
      </c>
      <c r="J102" s="215" t="str">
        <f t="shared" si="39"/>
        <v>-</v>
      </c>
      <c r="K102" s="196" t="str">
        <f t="shared" si="40"/>
        <v>-</v>
      </c>
    </row>
    <row r="103" spans="2:11" x14ac:dyDescent="0.25">
      <c r="B103" s="194" t="s">
        <v>130</v>
      </c>
      <c r="C103" s="195" t="s">
        <v>321</v>
      </c>
      <c r="D103" s="195" t="s">
        <v>321</v>
      </c>
      <c r="E103" s="195" t="s">
        <v>321</v>
      </c>
      <c r="F103" s="195" t="s">
        <v>321</v>
      </c>
      <c r="G103" s="195" t="s">
        <v>321</v>
      </c>
      <c r="H103" s="195" t="s">
        <v>321</v>
      </c>
      <c r="I103" s="212" t="str">
        <f t="shared" si="41"/>
        <v>-</v>
      </c>
      <c r="J103" s="215" t="str">
        <f t="shared" si="39"/>
        <v>-</v>
      </c>
      <c r="K103" s="196" t="str">
        <f t="shared" si="40"/>
        <v>-</v>
      </c>
    </row>
    <row r="104" spans="2:11" x14ac:dyDescent="0.25">
      <c r="B104" s="194" t="s">
        <v>133</v>
      </c>
      <c r="C104" s="195" t="s">
        <v>321</v>
      </c>
      <c r="D104" s="195" t="s">
        <v>321</v>
      </c>
      <c r="E104" s="195" t="s">
        <v>321</v>
      </c>
      <c r="F104" s="195" t="s">
        <v>321</v>
      </c>
      <c r="G104" s="195" t="s">
        <v>321</v>
      </c>
      <c r="H104" s="195" t="s">
        <v>321</v>
      </c>
      <c r="I104" s="212" t="str">
        <f t="shared" si="41"/>
        <v>-</v>
      </c>
      <c r="J104" s="215" t="str">
        <f t="shared" si="39"/>
        <v>-</v>
      </c>
      <c r="K104" s="196" t="str">
        <f t="shared" si="40"/>
        <v>-</v>
      </c>
    </row>
    <row r="105" spans="2:11" x14ac:dyDescent="0.25">
      <c r="B105" s="199" t="s">
        <v>147</v>
      </c>
      <c r="C105" s="200" t="str">
        <f t="shared" ref="C105:H105" si="42">IFERROR(C97-SUM(C98:C104),"nd")</f>
        <v>nd</v>
      </c>
      <c r="D105" s="200" t="str">
        <f t="shared" si="42"/>
        <v>nd</v>
      </c>
      <c r="E105" s="200" t="str">
        <f t="shared" si="42"/>
        <v>nd</v>
      </c>
      <c r="F105" s="200" t="str">
        <f t="shared" si="42"/>
        <v>nd</v>
      </c>
      <c r="G105" s="200" t="str">
        <f t="shared" si="42"/>
        <v>nd</v>
      </c>
      <c r="H105" s="200" t="str">
        <f t="shared" si="42"/>
        <v>nd</v>
      </c>
      <c r="I105" s="213" t="str">
        <f t="shared" si="41"/>
        <v>-</v>
      </c>
      <c r="J105" s="216" t="str">
        <f t="shared" si="39"/>
        <v>-</v>
      </c>
      <c r="K105" s="201" t="str">
        <f t="shared" si="40"/>
        <v>-</v>
      </c>
    </row>
    <row r="106" spans="2:11" x14ac:dyDescent="0.25">
      <c r="B106" s="186" t="s">
        <v>52</v>
      </c>
      <c r="C106" s="184"/>
      <c r="D106" s="184"/>
      <c r="E106" s="184"/>
      <c r="F106" s="184"/>
      <c r="G106" s="184"/>
      <c r="H106" s="184"/>
      <c r="I106" s="185"/>
      <c r="J106" s="185"/>
      <c r="K106" s="184"/>
    </row>
    <row r="107" spans="2:11" x14ac:dyDescent="0.25">
      <c r="B107" s="187" t="s">
        <v>70</v>
      </c>
      <c r="C107" s="209">
        <f t="shared" ref="C107:H107" si="43">IFERROR(C108+C111,"nd")</f>
        <v>13758</v>
      </c>
      <c r="D107" s="209">
        <f t="shared" si="43"/>
        <v>7414</v>
      </c>
      <c r="E107" s="209">
        <f t="shared" si="43"/>
        <v>24115</v>
      </c>
      <c r="F107" s="209">
        <f t="shared" si="43"/>
        <v>26931</v>
      </c>
      <c r="G107" s="209">
        <f t="shared" si="43"/>
        <v>27016</v>
      </c>
      <c r="H107" s="209">
        <f t="shared" si="43"/>
        <v>28050</v>
      </c>
      <c r="I107" s="210">
        <f>IFERROR(H107/G107-1,"-")</f>
        <v>3.8273615635179059E-2</v>
      </c>
      <c r="J107" s="209">
        <f>IFERROR(H107-G107,"-")</f>
        <v>1034</v>
      </c>
      <c r="K107" s="210">
        <f>IFERROR(H107/H$9,"-")</f>
        <v>2.6559557321774008E-2</v>
      </c>
    </row>
    <row r="108" spans="2:11" x14ac:dyDescent="0.25">
      <c r="B108" s="190" t="s">
        <v>99</v>
      </c>
      <c r="C108" s="191">
        <v>2060</v>
      </c>
      <c r="D108" s="191">
        <v>4070</v>
      </c>
      <c r="E108" s="191">
        <v>6944</v>
      </c>
      <c r="F108" s="191">
        <v>6519</v>
      </c>
      <c r="G108" s="191">
        <v>5682</v>
      </c>
      <c r="H108" s="191">
        <v>5422</v>
      </c>
      <c r="I108" s="211">
        <f>IFERROR(H108/G108-1,"-")</f>
        <v>-4.5758535726856731E-2</v>
      </c>
      <c r="J108" s="214">
        <f t="shared" ref="J108:J119" si="44">IFERROR(H108-G108,"-")</f>
        <v>-260</v>
      </c>
      <c r="K108" s="192">
        <f t="shared" ref="K108:K119" si="45">IFERROR(H108/H$9,"-")</f>
        <v>5.1339008840876532E-3</v>
      </c>
    </row>
    <row r="109" spans="2:11" x14ac:dyDescent="0.25">
      <c r="B109" s="194" t="s">
        <v>105</v>
      </c>
      <c r="C109" s="195">
        <v>1452</v>
      </c>
      <c r="D109" s="195">
        <v>3344</v>
      </c>
      <c r="E109" s="195">
        <v>5103</v>
      </c>
      <c r="F109" s="195">
        <v>4738</v>
      </c>
      <c r="G109" s="195">
        <v>3576</v>
      </c>
      <c r="H109" s="195">
        <v>3147</v>
      </c>
      <c r="I109" s="212">
        <f>IFERROR(H109/G109-1,"-")</f>
        <v>-0.11996644295302017</v>
      </c>
      <c r="J109" s="215">
        <f t="shared" si="44"/>
        <v>-429</v>
      </c>
      <c r="K109" s="196">
        <f t="shared" si="45"/>
        <v>2.9797834898974262E-3</v>
      </c>
    </row>
    <row r="110" spans="2:11" x14ac:dyDescent="0.25">
      <c r="B110" s="194" t="s">
        <v>102</v>
      </c>
      <c r="C110" s="195">
        <v>608</v>
      </c>
      <c r="D110" s="195">
        <v>726</v>
      </c>
      <c r="E110" s="195">
        <v>1841</v>
      </c>
      <c r="F110" s="195">
        <v>1781</v>
      </c>
      <c r="G110" s="195">
        <v>2106</v>
      </c>
      <c r="H110" s="195">
        <v>2275</v>
      </c>
      <c r="I110" s="212">
        <f>IFERROR(H110/G110-1,"-")</f>
        <v>8.0246913580246826E-2</v>
      </c>
      <c r="J110" s="215">
        <f t="shared" si="44"/>
        <v>169</v>
      </c>
      <c r="K110" s="196">
        <f t="shared" si="45"/>
        <v>2.154117394190227E-3</v>
      </c>
    </row>
    <row r="111" spans="2:11" x14ac:dyDescent="0.25">
      <c r="B111" s="190" t="s">
        <v>109</v>
      </c>
      <c r="C111" s="191">
        <v>11698</v>
      </c>
      <c r="D111" s="191">
        <v>3344</v>
      </c>
      <c r="E111" s="191">
        <v>17171</v>
      </c>
      <c r="F111" s="191">
        <v>20412</v>
      </c>
      <c r="G111" s="191">
        <v>21334</v>
      </c>
      <c r="H111" s="191">
        <v>22628</v>
      </c>
      <c r="I111" s="211">
        <f>IFERROR(H111/G111-1,"-")</f>
        <v>6.0654354551420209E-2</v>
      </c>
      <c r="J111" s="214">
        <f t="shared" si="44"/>
        <v>1294</v>
      </c>
      <c r="K111" s="192">
        <f t="shared" si="45"/>
        <v>2.1425656437686354E-2</v>
      </c>
    </row>
    <row r="112" spans="2:11" x14ac:dyDescent="0.25">
      <c r="B112" s="194" t="s">
        <v>112</v>
      </c>
      <c r="C112" s="195">
        <v>6095</v>
      </c>
      <c r="D112" s="195">
        <v>1916</v>
      </c>
      <c r="E112" s="195">
        <v>10637</v>
      </c>
      <c r="F112" s="195">
        <v>12601</v>
      </c>
      <c r="G112" s="195">
        <v>12275</v>
      </c>
      <c r="H112" s="195">
        <v>13272</v>
      </c>
      <c r="I112" s="212">
        <f t="shared" ref="I112:I119" si="46">IFERROR(H112/G112-1,"-")</f>
        <v>8.1221995926680224E-2</v>
      </c>
      <c r="J112" s="215">
        <f t="shared" si="44"/>
        <v>997</v>
      </c>
      <c r="K112" s="196">
        <f t="shared" si="45"/>
        <v>1.2566789475029755E-2</v>
      </c>
    </row>
    <row r="113" spans="2:11" x14ac:dyDescent="0.25">
      <c r="B113" s="194" t="s">
        <v>115</v>
      </c>
      <c r="C113" s="195">
        <v>474</v>
      </c>
      <c r="D113" s="195">
        <v>160</v>
      </c>
      <c r="E113" s="195">
        <v>662</v>
      </c>
      <c r="F113" s="195">
        <v>1021</v>
      </c>
      <c r="G113" s="195">
        <v>1052</v>
      </c>
      <c r="H113" s="195">
        <v>1299</v>
      </c>
      <c r="I113" s="212">
        <f t="shared" si="46"/>
        <v>0.23479087452471492</v>
      </c>
      <c r="J113" s="215">
        <f t="shared" si="44"/>
        <v>247</v>
      </c>
      <c r="K113" s="196">
        <f t="shared" si="45"/>
        <v>1.2299773604629032E-3</v>
      </c>
    </row>
    <row r="114" spans="2:11" x14ac:dyDescent="0.25">
      <c r="B114" s="194" t="s">
        <v>118</v>
      </c>
      <c r="C114" s="195">
        <v>623</v>
      </c>
      <c r="D114" s="195">
        <v>271</v>
      </c>
      <c r="E114" s="195">
        <v>992</v>
      </c>
      <c r="F114" s="195">
        <v>1165</v>
      </c>
      <c r="G114" s="195">
        <v>1290</v>
      </c>
      <c r="H114" s="195">
        <v>1293</v>
      </c>
      <c r="I114" s="212">
        <f t="shared" si="46"/>
        <v>2.3255813953488857E-3</v>
      </c>
      <c r="J114" s="215">
        <f t="shared" si="44"/>
        <v>3</v>
      </c>
      <c r="K114" s="196">
        <f t="shared" si="45"/>
        <v>1.2242961717309729E-3</v>
      </c>
    </row>
    <row r="115" spans="2:11" x14ac:dyDescent="0.25">
      <c r="B115" s="194" t="s">
        <v>125</v>
      </c>
      <c r="C115" s="195">
        <v>167</v>
      </c>
      <c r="D115" s="195">
        <v>60</v>
      </c>
      <c r="E115" s="195">
        <v>302</v>
      </c>
      <c r="F115" s="195">
        <v>404</v>
      </c>
      <c r="G115" s="195">
        <v>463</v>
      </c>
      <c r="H115" s="195">
        <v>489</v>
      </c>
      <c r="I115" s="212">
        <f t="shared" si="46"/>
        <v>5.6155507559395357E-2</v>
      </c>
      <c r="J115" s="215">
        <f t="shared" si="44"/>
        <v>26</v>
      </c>
      <c r="K115" s="196">
        <f t="shared" si="45"/>
        <v>4.6301688165231692E-4</v>
      </c>
    </row>
    <row r="116" spans="2:11" x14ac:dyDescent="0.25">
      <c r="B116" s="194" t="s">
        <v>121</v>
      </c>
      <c r="C116" s="195">
        <v>262</v>
      </c>
      <c r="D116" s="195">
        <v>91</v>
      </c>
      <c r="E116" s="195">
        <v>337</v>
      </c>
      <c r="F116" s="195">
        <v>367</v>
      </c>
      <c r="G116" s="195">
        <v>371</v>
      </c>
      <c r="H116" s="195">
        <v>412</v>
      </c>
      <c r="I116" s="212">
        <f t="shared" si="46"/>
        <v>0.11051212938005395</v>
      </c>
      <c r="J116" s="215">
        <f t="shared" si="44"/>
        <v>41</v>
      </c>
      <c r="K116" s="196">
        <f t="shared" si="45"/>
        <v>3.901082929258785E-4</v>
      </c>
    </row>
    <row r="117" spans="2:11" x14ac:dyDescent="0.25">
      <c r="B117" s="194" t="s">
        <v>130</v>
      </c>
      <c r="C117" s="195">
        <v>180</v>
      </c>
      <c r="D117" s="195">
        <v>27</v>
      </c>
      <c r="E117" s="195">
        <v>87</v>
      </c>
      <c r="F117" s="195">
        <v>120</v>
      </c>
      <c r="G117" s="195">
        <v>87</v>
      </c>
      <c r="H117" s="195">
        <v>77</v>
      </c>
      <c r="I117" s="212">
        <f t="shared" si="46"/>
        <v>-0.11494252873563215</v>
      </c>
      <c r="J117" s="215">
        <f t="shared" si="44"/>
        <v>-10</v>
      </c>
      <c r="K117" s="196">
        <f t="shared" si="45"/>
        <v>7.290858872643845E-5</v>
      </c>
    </row>
    <row r="118" spans="2:11" x14ac:dyDescent="0.25">
      <c r="B118" s="194" t="s">
        <v>133</v>
      </c>
      <c r="C118" s="195">
        <v>383</v>
      </c>
      <c r="D118" s="195">
        <v>18</v>
      </c>
      <c r="E118" s="195">
        <v>92</v>
      </c>
      <c r="F118" s="195">
        <v>89</v>
      </c>
      <c r="G118" s="195">
        <v>100</v>
      </c>
      <c r="H118" s="195">
        <v>81</v>
      </c>
      <c r="I118" s="212">
        <f t="shared" si="46"/>
        <v>-0.18999999999999995</v>
      </c>
      <c r="J118" s="215">
        <f t="shared" si="44"/>
        <v>-19</v>
      </c>
      <c r="K118" s="196">
        <f t="shared" si="45"/>
        <v>7.6696047881058627E-5</v>
      </c>
    </row>
    <row r="119" spans="2:11" x14ac:dyDescent="0.25">
      <c r="B119" s="199" t="s">
        <v>147</v>
      </c>
      <c r="C119" s="200">
        <f t="shared" ref="C119:H119" si="47">IFERROR(C111-SUM(C112:C118),"nd")</f>
        <v>3514</v>
      </c>
      <c r="D119" s="200">
        <f t="shared" si="47"/>
        <v>801</v>
      </c>
      <c r="E119" s="200">
        <f t="shared" si="47"/>
        <v>4062</v>
      </c>
      <c r="F119" s="200">
        <f t="shared" si="47"/>
        <v>4645</v>
      </c>
      <c r="G119" s="200">
        <f t="shared" si="47"/>
        <v>5696</v>
      </c>
      <c r="H119" s="200">
        <f t="shared" si="47"/>
        <v>5705</v>
      </c>
      <c r="I119" s="213">
        <f t="shared" si="46"/>
        <v>1.5800561797751911E-3</v>
      </c>
      <c r="J119" s="216">
        <f t="shared" si="44"/>
        <v>9</v>
      </c>
      <c r="K119" s="201">
        <f t="shared" si="45"/>
        <v>5.4018636192770305E-3</v>
      </c>
    </row>
    <row r="120" spans="2:11" x14ac:dyDescent="0.25">
      <c r="B120" s="186" t="s">
        <v>53</v>
      </c>
      <c r="C120" s="184"/>
      <c r="D120" s="184"/>
      <c r="E120" s="184"/>
      <c r="F120" s="184"/>
      <c r="G120" s="184"/>
      <c r="H120" s="184"/>
      <c r="I120" s="185"/>
      <c r="J120" s="185"/>
      <c r="K120" s="184"/>
    </row>
    <row r="121" spans="2:11" x14ac:dyDescent="0.25">
      <c r="B121" s="187" t="s">
        <v>70</v>
      </c>
      <c r="C121" s="209" t="str">
        <f t="shared" ref="C121:H121" si="48">IFERROR(C122+C125,"nd")</f>
        <v>nd</v>
      </c>
      <c r="D121" s="209" t="str">
        <f t="shared" si="48"/>
        <v>nd</v>
      </c>
      <c r="E121" s="209" t="str">
        <f t="shared" si="48"/>
        <v>nd</v>
      </c>
      <c r="F121" s="209" t="str">
        <f t="shared" si="48"/>
        <v>nd</v>
      </c>
      <c r="G121" s="209" t="str">
        <f t="shared" si="48"/>
        <v>nd</v>
      </c>
      <c r="H121" s="209" t="str">
        <f t="shared" si="48"/>
        <v>nd</v>
      </c>
      <c r="I121" s="210" t="str">
        <f>IFERROR(H121/G121-1,"-")</f>
        <v>-</v>
      </c>
      <c r="J121" s="209" t="str">
        <f>IFERROR(H121-G121,"-")</f>
        <v>-</v>
      </c>
      <c r="K121" s="210" t="str">
        <f>IFERROR(H121/H$9,"-")</f>
        <v>-</v>
      </c>
    </row>
    <row r="122" spans="2:11" x14ac:dyDescent="0.25">
      <c r="B122" s="190" t="s">
        <v>99</v>
      </c>
      <c r="C122" s="191" t="s">
        <v>321</v>
      </c>
      <c r="D122" s="191" t="s">
        <v>321</v>
      </c>
      <c r="E122" s="191" t="s">
        <v>321</v>
      </c>
      <c r="F122" s="191" t="s">
        <v>321</v>
      </c>
      <c r="G122" s="191" t="s">
        <v>321</v>
      </c>
      <c r="H122" s="191" t="s">
        <v>321</v>
      </c>
      <c r="I122" s="211" t="str">
        <f>IFERROR(H122/G122-1,"-")</f>
        <v>-</v>
      </c>
      <c r="J122" s="214" t="str">
        <f t="shared" ref="J122:J133" si="49">IFERROR(H122-G122,"-")</f>
        <v>-</v>
      </c>
      <c r="K122" s="192" t="str">
        <f t="shared" ref="K122:K133" si="50">IFERROR(H122/H$9,"-")</f>
        <v>-</v>
      </c>
    </row>
    <row r="123" spans="2:11" x14ac:dyDescent="0.25">
      <c r="B123" s="194" t="s">
        <v>105</v>
      </c>
      <c r="C123" s="195" t="s">
        <v>321</v>
      </c>
      <c r="D123" s="195" t="s">
        <v>321</v>
      </c>
      <c r="E123" s="195" t="s">
        <v>321</v>
      </c>
      <c r="F123" s="195" t="s">
        <v>321</v>
      </c>
      <c r="G123" s="195" t="s">
        <v>321</v>
      </c>
      <c r="H123" s="195" t="s">
        <v>321</v>
      </c>
      <c r="I123" s="212" t="str">
        <f>IFERROR(H123/G123-1,"-")</f>
        <v>-</v>
      </c>
      <c r="J123" s="215" t="str">
        <f t="shared" si="49"/>
        <v>-</v>
      </c>
      <c r="K123" s="196" t="str">
        <f t="shared" si="50"/>
        <v>-</v>
      </c>
    </row>
    <row r="124" spans="2:11" x14ac:dyDescent="0.25">
      <c r="B124" s="194" t="s">
        <v>102</v>
      </c>
      <c r="C124" s="195" t="s">
        <v>321</v>
      </c>
      <c r="D124" s="195" t="s">
        <v>321</v>
      </c>
      <c r="E124" s="195" t="s">
        <v>321</v>
      </c>
      <c r="F124" s="195" t="s">
        <v>321</v>
      </c>
      <c r="G124" s="195" t="s">
        <v>321</v>
      </c>
      <c r="H124" s="195" t="s">
        <v>321</v>
      </c>
      <c r="I124" s="212" t="str">
        <f>IFERROR(H124/G124-1,"-")</f>
        <v>-</v>
      </c>
      <c r="J124" s="215" t="str">
        <f t="shared" si="49"/>
        <v>-</v>
      </c>
      <c r="K124" s="196" t="str">
        <f t="shared" si="50"/>
        <v>-</v>
      </c>
    </row>
    <row r="125" spans="2:11" x14ac:dyDescent="0.25">
      <c r="B125" s="190" t="s">
        <v>109</v>
      </c>
      <c r="C125" s="191" t="s">
        <v>321</v>
      </c>
      <c r="D125" s="191" t="s">
        <v>321</v>
      </c>
      <c r="E125" s="191" t="s">
        <v>321</v>
      </c>
      <c r="F125" s="191" t="s">
        <v>321</v>
      </c>
      <c r="G125" s="191" t="s">
        <v>321</v>
      </c>
      <c r="H125" s="191" t="s">
        <v>321</v>
      </c>
      <c r="I125" s="211" t="str">
        <f>IFERROR(H125/G125-1,"-")</f>
        <v>-</v>
      </c>
      <c r="J125" s="214" t="str">
        <f t="shared" si="49"/>
        <v>-</v>
      </c>
      <c r="K125" s="192" t="str">
        <f t="shared" si="50"/>
        <v>-</v>
      </c>
    </row>
    <row r="126" spans="2:11" x14ac:dyDescent="0.25">
      <c r="B126" s="194" t="s">
        <v>112</v>
      </c>
      <c r="C126" s="195" t="s">
        <v>321</v>
      </c>
      <c r="D126" s="195" t="s">
        <v>321</v>
      </c>
      <c r="E126" s="195" t="s">
        <v>321</v>
      </c>
      <c r="F126" s="195" t="s">
        <v>321</v>
      </c>
      <c r="G126" s="195" t="s">
        <v>321</v>
      </c>
      <c r="H126" s="195" t="s">
        <v>321</v>
      </c>
      <c r="I126" s="212" t="str">
        <f t="shared" ref="I126:I133" si="51">IFERROR(H126/G126-1,"-")</f>
        <v>-</v>
      </c>
      <c r="J126" s="215" t="str">
        <f t="shared" si="49"/>
        <v>-</v>
      </c>
      <c r="K126" s="196" t="str">
        <f t="shared" si="50"/>
        <v>-</v>
      </c>
    </row>
    <row r="127" spans="2:11" x14ac:dyDescent="0.25">
      <c r="B127" s="194" t="s">
        <v>115</v>
      </c>
      <c r="C127" s="195" t="s">
        <v>321</v>
      </c>
      <c r="D127" s="195" t="s">
        <v>321</v>
      </c>
      <c r="E127" s="195" t="s">
        <v>321</v>
      </c>
      <c r="F127" s="195" t="s">
        <v>321</v>
      </c>
      <c r="G127" s="195" t="s">
        <v>321</v>
      </c>
      <c r="H127" s="195" t="s">
        <v>321</v>
      </c>
      <c r="I127" s="212" t="str">
        <f t="shared" si="51"/>
        <v>-</v>
      </c>
      <c r="J127" s="215" t="str">
        <f t="shared" si="49"/>
        <v>-</v>
      </c>
      <c r="K127" s="196" t="str">
        <f t="shared" si="50"/>
        <v>-</v>
      </c>
    </row>
    <row r="128" spans="2:11" x14ac:dyDescent="0.25">
      <c r="B128" s="194" t="s">
        <v>118</v>
      </c>
      <c r="C128" s="195" t="s">
        <v>321</v>
      </c>
      <c r="D128" s="195" t="s">
        <v>321</v>
      </c>
      <c r="E128" s="195" t="s">
        <v>321</v>
      </c>
      <c r="F128" s="195" t="s">
        <v>321</v>
      </c>
      <c r="G128" s="195" t="s">
        <v>321</v>
      </c>
      <c r="H128" s="195" t="s">
        <v>321</v>
      </c>
      <c r="I128" s="212" t="str">
        <f t="shared" si="51"/>
        <v>-</v>
      </c>
      <c r="J128" s="215" t="str">
        <f t="shared" si="49"/>
        <v>-</v>
      </c>
      <c r="K128" s="196" t="str">
        <f t="shared" si="50"/>
        <v>-</v>
      </c>
    </row>
    <row r="129" spans="2:11" x14ac:dyDescent="0.25">
      <c r="B129" s="194" t="s">
        <v>125</v>
      </c>
      <c r="C129" s="195" t="s">
        <v>321</v>
      </c>
      <c r="D129" s="195" t="s">
        <v>321</v>
      </c>
      <c r="E129" s="195" t="s">
        <v>321</v>
      </c>
      <c r="F129" s="195" t="s">
        <v>321</v>
      </c>
      <c r="G129" s="195" t="s">
        <v>321</v>
      </c>
      <c r="H129" s="195" t="s">
        <v>321</v>
      </c>
      <c r="I129" s="212" t="str">
        <f t="shared" si="51"/>
        <v>-</v>
      </c>
      <c r="J129" s="215" t="str">
        <f t="shared" si="49"/>
        <v>-</v>
      </c>
      <c r="K129" s="196" t="str">
        <f t="shared" si="50"/>
        <v>-</v>
      </c>
    </row>
    <row r="130" spans="2:11" x14ac:dyDescent="0.25">
      <c r="B130" s="194" t="s">
        <v>121</v>
      </c>
      <c r="C130" s="195" t="s">
        <v>321</v>
      </c>
      <c r="D130" s="195" t="s">
        <v>321</v>
      </c>
      <c r="E130" s="195" t="s">
        <v>321</v>
      </c>
      <c r="F130" s="195" t="s">
        <v>321</v>
      </c>
      <c r="G130" s="195" t="s">
        <v>321</v>
      </c>
      <c r="H130" s="195" t="s">
        <v>321</v>
      </c>
      <c r="I130" s="212" t="str">
        <f t="shared" si="51"/>
        <v>-</v>
      </c>
      <c r="J130" s="215" t="str">
        <f t="shared" si="49"/>
        <v>-</v>
      </c>
      <c r="K130" s="196" t="str">
        <f t="shared" si="50"/>
        <v>-</v>
      </c>
    </row>
    <row r="131" spans="2:11" x14ac:dyDescent="0.25">
      <c r="B131" s="194" t="s">
        <v>130</v>
      </c>
      <c r="C131" s="195" t="s">
        <v>321</v>
      </c>
      <c r="D131" s="195" t="s">
        <v>321</v>
      </c>
      <c r="E131" s="195" t="s">
        <v>321</v>
      </c>
      <c r="F131" s="195" t="s">
        <v>321</v>
      </c>
      <c r="G131" s="195" t="s">
        <v>321</v>
      </c>
      <c r="H131" s="195" t="s">
        <v>321</v>
      </c>
      <c r="I131" s="212" t="str">
        <f t="shared" si="51"/>
        <v>-</v>
      </c>
      <c r="J131" s="215" t="str">
        <f t="shared" si="49"/>
        <v>-</v>
      </c>
      <c r="K131" s="196" t="str">
        <f t="shared" si="50"/>
        <v>-</v>
      </c>
    </row>
    <row r="132" spans="2:11" x14ac:dyDescent="0.25">
      <c r="B132" s="194" t="s">
        <v>133</v>
      </c>
      <c r="C132" s="195" t="s">
        <v>321</v>
      </c>
      <c r="D132" s="195" t="s">
        <v>321</v>
      </c>
      <c r="E132" s="195" t="s">
        <v>321</v>
      </c>
      <c r="F132" s="195" t="s">
        <v>321</v>
      </c>
      <c r="G132" s="195" t="s">
        <v>321</v>
      </c>
      <c r="H132" s="195" t="s">
        <v>321</v>
      </c>
      <c r="I132" s="212" t="str">
        <f t="shared" si="51"/>
        <v>-</v>
      </c>
      <c r="J132" s="215" t="str">
        <f t="shared" si="49"/>
        <v>-</v>
      </c>
      <c r="K132" s="196" t="str">
        <f t="shared" si="50"/>
        <v>-</v>
      </c>
    </row>
    <row r="133" spans="2:11" x14ac:dyDescent="0.25">
      <c r="B133" s="199" t="s">
        <v>147</v>
      </c>
      <c r="C133" s="200" t="str">
        <f t="shared" ref="C133:H133" si="52">IFERROR(C125-SUM(C126:C132),"nd")</f>
        <v>nd</v>
      </c>
      <c r="D133" s="200" t="str">
        <f t="shared" si="52"/>
        <v>nd</v>
      </c>
      <c r="E133" s="200" t="str">
        <f t="shared" si="52"/>
        <v>nd</v>
      </c>
      <c r="F133" s="200" t="str">
        <f t="shared" si="52"/>
        <v>nd</v>
      </c>
      <c r="G133" s="200" t="str">
        <f t="shared" si="52"/>
        <v>nd</v>
      </c>
      <c r="H133" s="200" t="str">
        <f t="shared" si="52"/>
        <v>nd</v>
      </c>
      <c r="I133" s="213" t="str">
        <f t="shared" si="51"/>
        <v>-</v>
      </c>
      <c r="J133" s="216" t="str">
        <f t="shared" si="49"/>
        <v>-</v>
      </c>
      <c r="K133" s="201" t="str">
        <f t="shared" si="50"/>
        <v>-</v>
      </c>
    </row>
    <row r="134" spans="2:11" x14ac:dyDescent="0.25">
      <c r="B134" s="186" t="s">
        <v>54</v>
      </c>
      <c r="C134" s="184"/>
      <c r="D134" s="184"/>
      <c r="E134" s="184"/>
      <c r="F134" s="184"/>
      <c r="G134" s="184"/>
      <c r="H134" s="184"/>
      <c r="I134" s="185"/>
      <c r="J134" s="185"/>
      <c r="K134" s="184"/>
    </row>
    <row r="135" spans="2:11" x14ac:dyDescent="0.25">
      <c r="B135" s="187" t="s">
        <v>70</v>
      </c>
      <c r="C135" s="209">
        <f t="shared" ref="C135:H135" si="53">IFERROR(C136+C139,"nd")</f>
        <v>16780</v>
      </c>
      <c r="D135" s="209">
        <f t="shared" si="53"/>
        <v>16287</v>
      </c>
      <c r="E135" s="209">
        <f t="shared" si="53"/>
        <v>36760</v>
      </c>
      <c r="F135" s="209">
        <f t="shared" si="53"/>
        <v>40747</v>
      </c>
      <c r="G135" s="209">
        <f t="shared" si="53"/>
        <v>42275</v>
      </c>
      <c r="H135" s="209">
        <f t="shared" si="53"/>
        <v>45622</v>
      </c>
      <c r="I135" s="210">
        <f>IFERROR(H135/G135-1,"-")</f>
        <v>7.9172087522176193E-2</v>
      </c>
      <c r="J135" s="209">
        <f>IFERROR(H135-G135,"-")</f>
        <v>3347</v>
      </c>
      <c r="K135" s="210">
        <f>IFERROR(H135/H$9,"-")</f>
        <v>4.3197865388020458E-2</v>
      </c>
    </row>
    <row r="136" spans="2:11" x14ac:dyDescent="0.25">
      <c r="B136" s="190" t="s">
        <v>99</v>
      </c>
      <c r="C136" s="191">
        <v>3268</v>
      </c>
      <c r="D136" s="191">
        <v>6849</v>
      </c>
      <c r="E136" s="191">
        <v>6996</v>
      </c>
      <c r="F136" s="191">
        <v>8149</v>
      </c>
      <c r="G136" s="191">
        <v>7081</v>
      </c>
      <c r="H136" s="191">
        <v>8398</v>
      </c>
      <c r="I136" s="211">
        <f>IFERROR(H136/G136-1,"-")</f>
        <v>0.18599067928258717</v>
      </c>
      <c r="J136" s="214">
        <f t="shared" ref="J136:J147" si="54">IFERROR(H136-G136,"-")</f>
        <v>1317</v>
      </c>
      <c r="K136" s="192">
        <f t="shared" ref="K136:K147" si="55">IFERROR(H136/H$9,"-")</f>
        <v>7.9517704951250663E-3</v>
      </c>
    </row>
    <row r="137" spans="2:11" x14ac:dyDescent="0.25">
      <c r="B137" s="194" t="s">
        <v>105</v>
      </c>
      <c r="C137" s="195">
        <v>2718</v>
      </c>
      <c r="D137" s="195">
        <v>4333</v>
      </c>
      <c r="E137" s="195">
        <v>4967</v>
      </c>
      <c r="F137" s="195">
        <v>5721</v>
      </c>
      <c r="G137" s="195">
        <v>5033</v>
      </c>
      <c r="H137" s="195">
        <v>4711</v>
      </c>
      <c r="I137" s="212">
        <f>IFERROR(H137/G137-1,"-")</f>
        <v>-6.3977746870653718E-2</v>
      </c>
      <c r="J137" s="215">
        <f t="shared" si="54"/>
        <v>-322</v>
      </c>
      <c r="K137" s="196">
        <f t="shared" si="55"/>
        <v>4.4606800193539159E-3</v>
      </c>
    </row>
    <row r="138" spans="2:11" x14ac:dyDescent="0.25">
      <c r="B138" s="194" t="s">
        <v>102</v>
      </c>
      <c r="C138" s="195">
        <v>550</v>
      </c>
      <c r="D138" s="195">
        <v>2516</v>
      </c>
      <c r="E138" s="195">
        <v>2029</v>
      </c>
      <c r="F138" s="195">
        <v>2428</v>
      </c>
      <c r="G138" s="195">
        <v>2048</v>
      </c>
      <c r="H138" s="195">
        <v>3687</v>
      </c>
      <c r="I138" s="212">
        <f>IFERROR(H138/G138-1,"-")</f>
        <v>0.80029296875</v>
      </c>
      <c r="J138" s="215">
        <f t="shared" si="54"/>
        <v>1639</v>
      </c>
      <c r="K138" s="196">
        <f t="shared" si="55"/>
        <v>3.4910904757711504E-3</v>
      </c>
    </row>
    <row r="139" spans="2:11" x14ac:dyDescent="0.25">
      <c r="B139" s="190" t="s">
        <v>109</v>
      </c>
      <c r="C139" s="191">
        <v>13512</v>
      </c>
      <c r="D139" s="191">
        <v>9438</v>
      </c>
      <c r="E139" s="191">
        <v>29764</v>
      </c>
      <c r="F139" s="191">
        <v>32598</v>
      </c>
      <c r="G139" s="191">
        <v>35194</v>
      </c>
      <c r="H139" s="191">
        <v>37224</v>
      </c>
      <c r="I139" s="211">
        <f>IFERROR(H139/G139-1,"-")</f>
        <v>5.7680286412456594E-2</v>
      </c>
      <c r="J139" s="214">
        <f t="shared" si="54"/>
        <v>2030</v>
      </c>
      <c r="K139" s="192">
        <f t="shared" si="55"/>
        <v>3.5246094892895388E-2</v>
      </c>
    </row>
    <row r="140" spans="2:11" x14ac:dyDescent="0.25">
      <c r="B140" s="194" t="s">
        <v>112</v>
      </c>
      <c r="C140" s="195">
        <v>6534</v>
      </c>
      <c r="D140" s="195">
        <v>2295</v>
      </c>
      <c r="E140" s="195">
        <v>11538</v>
      </c>
      <c r="F140" s="195">
        <v>13247</v>
      </c>
      <c r="G140" s="195">
        <v>15330</v>
      </c>
      <c r="H140" s="195">
        <v>17355</v>
      </c>
      <c r="I140" s="212">
        <f t="shared" ref="I140:I147" si="56">IFERROR(H140/G140-1,"-")</f>
        <v>0.1320939334637965</v>
      </c>
      <c r="J140" s="215">
        <f t="shared" si="54"/>
        <v>2025</v>
      </c>
      <c r="K140" s="196">
        <f t="shared" si="55"/>
        <v>1.6432838407108304E-2</v>
      </c>
    </row>
    <row r="141" spans="2:11" x14ac:dyDescent="0.25">
      <c r="B141" s="194" t="s">
        <v>115</v>
      </c>
      <c r="C141" s="195">
        <v>737</v>
      </c>
      <c r="D141" s="195">
        <v>797</v>
      </c>
      <c r="E141" s="195">
        <v>2252</v>
      </c>
      <c r="F141" s="195">
        <v>2056</v>
      </c>
      <c r="G141" s="195">
        <v>2151</v>
      </c>
      <c r="H141" s="195">
        <v>2251</v>
      </c>
      <c r="I141" s="212">
        <f t="shared" si="56"/>
        <v>4.6490004649000438E-2</v>
      </c>
      <c r="J141" s="215">
        <f t="shared" si="54"/>
        <v>100</v>
      </c>
      <c r="K141" s="196">
        <f t="shared" si="55"/>
        <v>2.131392639262506E-3</v>
      </c>
    </row>
    <row r="142" spans="2:11" x14ac:dyDescent="0.25">
      <c r="B142" s="194" t="s">
        <v>118</v>
      </c>
      <c r="C142" s="195">
        <v>641</v>
      </c>
      <c r="D142" s="195">
        <v>1684</v>
      </c>
      <c r="E142" s="195">
        <v>3218</v>
      </c>
      <c r="F142" s="195">
        <v>3572</v>
      </c>
      <c r="G142" s="195">
        <v>3492</v>
      </c>
      <c r="H142" s="195">
        <v>3560</v>
      </c>
      <c r="I142" s="212">
        <f t="shared" si="56"/>
        <v>1.9473081328751363E-2</v>
      </c>
      <c r="J142" s="215">
        <f t="shared" si="54"/>
        <v>68</v>
      </c>
      <c r="K142" s="196">
        <f t="shared" si="55"/>
        <v>3.3708386476119599E-3</v>
      </c>
    </row>
    <row r="143" spans="2:11" x14ac:dyDescent="0.25">
      <c r="B143" s="194" t="s">
        <v>125</v>
      </c>
      <c r="C143" s="195">
        <v>374</v>
      </c>
      <c r="D143" s="195">
        <v>306</v>
      </c>
      <c r="E143" s="195">
        <v>1476</v>
      </c>
      <c r="F143" s="195">
        <v>1303</v>
      </c>
      <c r="G143" s="195">
        <v>1097</v>
      </c>
      <c r="H143" s="195">
        <v>1231</v>
      </c>
      <c r="I143" s="212">
        <f t="shared" si="56"/>
        <v>0.12215132178669097</v>
      </c>
      <c r="J143" s="215">
        <f t="shared" si="54"/>
        <v>134</v>
      </c>
      <c r="K143" s="196">
        <f t="shared" si="55"/>
        <v>1.1655905548343603E-3</v>
      </c>
    </row>
    <row r="144" spans="2:11" x14ac:dyDescent="0.25">
      <c r="B144" s="194" t="s">
        <v>121</v>
      </c>
      <c r="C144" s="195">
        <v>223</v>
      </c>
      <c r="D144" s="195">
        <v>181</v>
      </c>
      <c r="E144" s="195">
        <v>715</v>
      </c>
      <c r="F144" s="195">
        <v>583</v>
      </c>
      <c r="G144" s="195">
        <v>588</v>
      </c>
      <c r="H144" s="195">
        <v>686</v>
      </c>
      <c r="I144" s="212">
        <f t="shared" si="56"/>
        <v>0.16666666666666674</v>
      </c>
      <c r="J144" s="215">
        <f t="shared" si="54"/>
        <v>98</v>
      </c>
      <c r="K144" s="196">
        <f t="shared" si="55"/>
        <v>6.4954924501736081E-4</v>
      </c>
    </row>
    <row r="145" spans="2:11" x14ac:dyDescent="0.25">
      <c r="B145" s="194" t="s">
        <v>130</v>
      </c>
      <c r="C145" s="195">
        <v>382</v>
      </c>
      <c r="D145" s="195">
        <v>80</v>
      </c>
      <c r="E145" s="195">
        <v>272</v>
      </c>
      <c r="F145" s="195">
        <v>326</v>
      </c>
      <c r="G145" s="195">
        <v>214</v>
      </c>
      <c r="H145" s="195">
        <v>352</v>
      </c>
      <c r="I145" s="212">
        <f t="shared" si="56"/>
        <v>0.64485981308411211</v>
      </c>
      <c r="J145" s="215">
        <f t="shared" si="54"/>
        <v>138</v>
      </c>
      <c r="K145" s="196">
        <f t="shared" si="55"/>
        <v>3.3329640560657579E-4</v>
      </c>
    </row>
    <row r="146" spans="2:11" x14ac:dyDescent="0.25">
      <c r="B146" s="194" t="s">
        <v>133</v>
      </c>
      <c r="C146" s="195">
        <v>656</v>
      </c>
      <c r="D146" s="195">
        <v>25</v>
      </c>
      <c r="E146" s="195">
        <v>230</v>
      </c>
      <c r="F146" s="195">
        <v>355</v>
      </c>
      <c r="G146" s="195">
        <v>392</v>
      </c>
      <c r="H146" s="195">
        <v>378</v>
      </c>
      <c r="I146" s="212">
        <f t="shared" si="56"/>
        <v>-3.5714285714285698E-2</v>
      </c>
      <c r="J146" s="215">
        <f t="shared" si="54"/>
        <v>-14</v>
      </c>
      <c r="K146" s="196">
        <f t="shared" si="55"/>
        <v>3.5791489011160696E-4</v>
      </c>
    </row>
    <row r="147" spans="2:11" x14ac:dyDescent="0.25">
      <c r="B147" s="199" t="s">
        <v>147</v>
      </c>
      <c r="C147" s="200">
        <f t="shared" ref="C147:H147" si="57">IFERROR(C139-SUM(C140:C146),"nd")</f>
        <v>3965</v>
      </c>
      <c r="D147" s="200">
        <f t="shared" si="57"/>
        <v>4070</v>
      </c>
      <c r="E147" s="200">
        <f t="shared" si="57"/>
        <v>10063</v>
      </c>
      <c r="F147" s="200">
        <f t="shared" si="57"/>
        <v>11156</v>
      </c>
      <c r="G147" s="200">
        <f t="shared" si="57"/>
        <v>11930</v>
      </c>
      <c r="H147" s="200">
        <f t="shared" si="57"/>
        <v>11411</v>
      </c>
      <c r="I147" s="213">
        <f t="shared" si="56"/>
        <v>-4.350377200335287E-2</v>
      </c>
      <c r="J147" s="216">
        <f t="shared" si="54"/>
        <v>-519</v>
      </c>
      <c r="K147" s="201">
        <f t="shared" si="55"/>
        <v>1.0804674103342717E-2</v>
      </c>
    </row>
    <row r="148" spans="2:11" x14ac:dyDescent="0.25">
      <c r="B148" s="186" t="s">
        <v>55</v>
      </c>
      <c r="C148" s="184"/>
      <c r="D148" s="184"/>
      <c r="E148" s="184"/>
      <c r="F148" s="184"/>
      <c r="G148" s="184"/>
      <c r="H148" s="184"/>
      <c r="I148" s="185"/>
      <c r="J148" s="185"/>
      <c r="K148" s="184"/>
    </row>
    <row r="149" spans="2:11" x14ac:dyDescent="0.25">
      <c r="B149" s="187" t="s">
        <v>70</v>
      </c>
      <c r="C149" s="209">
        <f t="shared" ref="C149:H149" si="58">IFERROR(C150+C153,"nd")</f>
        <v>2131</v>
      </c>
      <c r="D149" s="209">
        <f t="shared" si="58"/>
        <v>4207</v>
      </c>
      <c r="E149" s="209">
        <f t="shared" si="58"/>
        <v>11115</v>
      </c>
      <c r="F149" s="209">
        <f t="shared" si="58"/>
        <v>15002</v>
      </c>
      <c r="G149" s="209">
        <f t="shared" si="58"/>
        <v>42471</v>
      </c>
      <c r="H149" s="209">
        <f t="shared" si="58"/>
        <v>41914</v>
      </c>
      <c r="I149" s="210">
        <f>IFERROR(H149/G149-1,"-")</f>
        <v>-1.3114831296649476E-2</v>
      </c>
      <c r="J149" s="209">
        <f>IFERROR(H149-G149,"-")</f>
        <v>-557</v>
      </c>
      <c r="K149" s="210">
        <f>IFERROR(H149/H$9,"-")</f>
        <v>3.9686890751687548E-2</v>
      </c>
    </row>
    <row r="150" spans="2:11" x14ac:dyDescent="0.25">
      <c r="B150" s="190" t="s">
        <v>99</v>
      </c>
      <c r="C150" s="191">
        <v>428</v>
      </c>
      <c r="D150" s="191">
        <v>430</v>
      </c>
      <c r="E150" s="191">
        <v>2230</v>
      </c>
      <c r="F150" s="191">
        <v>4016</v>
      </c>
      <c r="G150" s="191">
        <v>4986</v>
      </c>
      <c r="H150" s="191">
        <v>5766</v>
      </c>
      <c r="I150" s="211">
        <f>IFERROR(H150/G150-1,"-")</f>
        <v>0.15643802647412763</v>
      </c>
      <c r="J150" s="214">
        <f t="shared" ref="J150:J161" si="59">IFERROR(H150-G150,"-")</f>
        <v>780</v>
      </c>
      <c r="K150" s="192">
        <f t="shared" ref="K150:K161" si="60">IFERROR(H150/H$9,"-")</f>
        <v>5.4596223713849886E-3</v>
      </c>
    </row>
    <row r="151" spans="2:11" x14ac:dyDescent="0.25">
      <c r="B151" s="194" t="s">
        <v>105</v>
      </c>
      <c r="C151" s="195">
        <v>305</v>
      </c>
      <c r="D151" s="195">
        <v>140</v>
      </c>
      <c r="E151" s="195">
        <v>681</v>
      </c>
      <c r="F151" s="195">
        <v>1936</v>
      </c>
      <c r="G151" s="195">
        <v>3177</v>
      </c>
      <c r="H151" s="195">
        <v>3041</v>
      </c>
      <c r="I151" s="212">
        <f>IFERROR(H151/G151-1,"-")</f>
        <v>-4.2807680201447873E-2</v>
      </c>
      <c r="J151" s="215">
        <f t="shared" si="59"/>
        <v>-136</v>
      </c>
      <c r="K151" s="196">
        <f t="shared" si="60"/>
        <v>2.8794158222999913E-3</v>
      </c>
    </row>
    <row r="152" spans="2:11" x14ac:dyDescent="0.25">
      <c r="B152" s="194" t="s">
        <v>102</v>
      </c>
      <c r="C152" s="195">
        <v>123</v>
      </c>
      <c r="D152" s="195">
        <v>290</v>
      </c>
      <c r="E152" s="195">
        <v>1549</v>
      </c>
      <c r="F152" s="195">
        <v>2080</v>
      </c>
      <c r="G152" s="195">
        <v>1809</v>
      </c>
      <c r="H152" s="195">
        <v>2725</v>
      </c>
      <c r="I152" s="212">
        <f>IFERROR(H152/G152-1,"-")</f>
        <v>0.50635710337202866</v>
      </c>
      <c r="J152" s="215">
        <f t="shared" si="59"/>
        <v>916</v>
      </c>
      <c r="K152" s="196">
        <f t="shared" si="60"/>
        <v>2.5802065490849973E-3</v>
      </c>
    </row>
    <row r="153" spans="2:11" x14ac:dyDescent="0.25">
      <c r="B153" s="190" t="s">
        <v>109</v>
      </c>
      <c r="C153" s="191">
        <v>1703</v>
      </c>
      <c r="D153" s="191">
        <v>3777</v>
      </c>
      <c r="E153" s="191">
        <v>8885</v>
      </c>
      <c r="F153" s="191">
        <v>10986</v>
      </c>
      <c r="G153" s="191">
        <v>37485</v>
      </c>
      <c r="H153" s="191">
        <v>36148</v>
      </c>
      <c r="I153" s="211">
        <f>IFERROR(H153/G153-1,"-")</f>
        <v>-3.5667600373482711E-2</v>
      </c>
      <c r="J153" s="214">
        <f t="shared" si="59"/>
        <v>-1337</v>
      </c>
      <c r="K153" s="192">
        <f t="shared" si="60"/>
        <v>3.4227268380302558E-2</v>
      </c>
    </row>
    <row r="154" spans="2:11" x14ac:dyDescent="0.25">
      <c r="B154" s="194" t="s">
        <v>112</v>
      </c>
      <c r="C154" s="195">
        <v>298</v>
      </c>
      <c r="D154" s="195">
        <v>1816</v>
      </c>
      <c r="E154" s="195">
        <v>2999</v>
      </c>
      <c r="F154" s="195">
        <v>2210</v>
      </c>
      <c r="G154" s="195">
        <v>24353</v>
      </c>
      <c r="H154" s="195">
        <v>23390</v>
      </c>
      <c r="I154" s="212">
        <f t="shared" ref="I154:I161" si="61">IFERROR(H154/G154-1,"-")</f>
        <v>-3.9543382745452327E-2</v>
      </c>
      <c r="J154" s="215">
        <f t="shared" si="59"/>
        <v>-963</v>
      </c>
      <c r="K154" s="196">
        <f t="shared" si="60"/>
        <v>2.2147167406641501E-2</v>
      </c>
    </row>
    <row r="155" spans="2:11" x14ac:dyDescent="0.25">
      <c r="B155" s="194" t="s">
        <v>115</v>
      </c>
      <c r="C155" s="195">
        <v>440</v>
      </c>
      <c r="D155" s="195">
        <v>361</v>
      </c>
      <c r="E155" s="195">
        <v>1743</v>
      </c>
      <c r="F155" s="195">
        <v>2494</v>
      </c>
      <c r="G155" s="195">
        <v>2946</v>
      </c>
      <c r="H155" s="195">
        <v>2208</v>
      </c>
      <c r="I155" s="212">
        <f t="shared" si="61"/>
        <v>-0.25050916496945008</v>
      </c>
      <c r="J155" s="215">
        <f t="shared" si="59"/>
        <v>-738</v>
      </c>
      <c r="K155" s="196">
        <f t="shared" si="60"/>
        <v>2.090677453350339E-3</v>
      </c>
    </row>
    <row r="156" spans="2:11" x14ac:dyDescent="0.25">
      <c r="B156" s="194" t="s">
        <v>118</v>
      </c>
      <c r="C156" s="195">
        <v>62</v>
      </c>
      <c r="D156" s="195">
        <v>106</v>
      </c>
      <c r="E156" s="195">
        <v>462</v>
      </c>
      <c r="F156" s="195">
        <v>1182</v>
      </c>
      <c r="G156" s="195">
        <v>1080</v>
      </c>
      <c r="H156" s="195">
        <v>1256</v>
      </c>
      <c r="I156" s="212">
        <f t="shared" si="61"/>
        <v>0.16296296296296298</v>
      </c>
      <c r="J156" s="215">
        <f t="shared" si="59"/>
        <v>176</v>
      </c>
      <c r="K156" s="196">
        <f t="shared" si="60"/>
        <v>1.1892621745507362E-3</v>
      </c>
    </row>
    <row r="157" spans="2:11" x14ac:dyDescent="0.25">
      <c r="B157" s="194" t="s">
        <v>125</v>
      </c>
      <c r="C157" s="195">
        <v>30</v>
      </c>
      <c r="D157" s="195">
        <v>1126</v>
      </c>
      <c r="E157" s="195">
        <v>938</v>
      </c>
      <c r="F157" s="195">
        <v>809</v>
      </c>
      <c r="G157" s="195">
        <v>2639</v>
      </c>
      <c r="H157" s="195">
        <v>3186</v>
      </c>
      <c r="I157" s="212">
        <f t="shared" si="61"/>
        <v>0.20727548313755206</v>
      </c>
      <c r="J157" s="215">
        <f t="shared" si="59"/>
        <v>547</v>
      </c>
      <c r="K157" s="196">
        <f t="shared" si="60"/>
        <v>3.0167112166549731E-3</v>
      </c>
    </row>
    <row r="158" spans="2:11" x14ac:dyDescent="0.25">
      <c r="B158" s="194" t="s">
        <v>121</v>
      </c>
      <c r="C158" s="195">
        <v>47</v>
      </c>
      <c r="D158" s="195">
        <v>30</v>
      </c>
      <c r="E158" s="195">
        <v>321</v>
      </c>
      <c r="F158" s="195">
        <v>509</v>
      </c>
      <c r="G158" s="195">
        <v>490</v>
      </c>
      <c r="H158" s="195">
        <v>171</v>
      </c>
      <c r="I158" s="212">
        <f t="shared" si="61"/>
        <v>-0.65102040816326534</v>
      </c>
      <c r="J158" s="215">
        <f t="shared" si="59"/>
        <v>-319</v>
      </c>
      <c r="K158" s="196">
        <f t="shared" si="60"/>
        <v>1.6191387886001267E-4</v>
      </c>
    </row>
    <row r="159" spans="2:11" x14ac:dyDescent="0.25">
      <c r="B159" s="194" t="s">
        <v>130</v>
      </c>
      <c r="C159" s="195">
        <v>152</v>
      </c>
      <c r="D159" s="195">
        <v>5</v>
      </c>
      <c r="E159" s="195">
        <v>201</v>
      </c>
      <c r="F159" s="195">
        <v>188</v>
      </c>
      <c r="G159" s="195">
        <v>633</v>
      </c>
      <c r="H159" s="195">
        <v>886</v>
      </c>
      <c r="I159" s="212">
        <f t="shared" si="61"/>
        <v>0.39968404423380721</v>
      </c>
      <c r="J159" s="215">
        <f t="shared" si="59"/>
        <v>253</v>
      </c>
      <c r="K159" s="196">
        <f t="shared" si="60"/>
        <v>8.3892220274836972E-4</v>
      </c>
    </row>
    <row r="160" spans="2:11" x14ac:dyDescent="0.25">
      <c r="B160" s="194" t="s">
        <v>133</v>
      </c>
      <c r="C160" s="195">
        <v>159</v>
      </c>
      <c r="D160" s="195">
        <v>0</v>
      </c>
      <c r="E160" s="195">
        <v>157</v>
      </c>
      <c r="F160" s="195">
        <v>85</v>
      </c>
      <c r="G160" s="195">
        <v>1658</v>
      </c>
      <c r="H160" s="195">
        <v>1664</v>
      </c>
      <c r="I160" s="212">
        <f t="shared" si="61"/>
        <v>3.6188178528346882E-3</v>
      </c>
      <c r="J160" s="215">
        <f t="shared" si="59"/>
        <v>6</v>
      </c>
      <c r="K160" s="196">
        <f t="shared" si="60"/>
        <v>1.5755830083219945E-3</v>
      </c>
    </row>
    <row r="161" spans="2:11" x14ac:dyDescent="0.25">
      <c r="B161" s="199" t="s">
        <v>147</v>
      </c>
      <c r="C161" s="200">
        <f t="shared" ref="C161:H161" si="62">IFERROR(C153-SUM(C154:C160),"nd")</f>
        <v>515</v>
      </c>
      <c r="D161" s="200">
        <f t="shared" si="62"/>
        <v>333</v>
      </c>
      <c r="E161" s="200">
        <f t="shared" si="62"/>
        <v>2064</v>
      </c>
      <c r="F161" s="200">
        <f t="shared" si="62"/>
        <v>3509</v>
      </c>
      <c r="G161" s="200">
        <f t="shared" si="62"/>
        <v>3686</v>
      </c>
      <c r="H161" s="200">
        <f t="shared" si="62"/>
        <v>3387</v>
      </c>
      <c r="I161" s="213">
        <f t="shared" si="61"/>
        <v>-8.1117742810634885E-2</v>
      </c>
      <c r="J161" s="216">
        <f t="shared" si="59"/>
        <v>-299</v>
      </c>
      <c r="K161" s="201">
        <f t="shared" si="60"/>
        <v>3.207031039174637E-3</v>
      </c>
    </row>
    <row r="162" spans="2:11" x14ac:dyDescent="0.25">
      <c r="C162" s="103"/>
      <c r="D162" s="103"/>
      <c r="E162" s="103"/>
      <c r="F162" s="103"/>
      <c r="G162" s="103"/>
      <c r="H162" s="103"/>
      <c r="I162" s="103"/>
    </row>
    <row r="163" spans="2:11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12C86-85CE-40B7-92C9-5E4854456F77}">
  <sheetPr>
    <tabColor theme="7" tint="0.79998168889431442"/>
    <pageSetUpPr fitToPage="1"/>
  </sheetPr>
  <dimension ref="A1:Y163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6" width="11.7109375" customWidth="1"/>
    <col min="7" max="8" width="11" customWidth="1"/>
    <col min="9" max="10" width="10.5703125" customWidth="1"/>
    <col min="11" max="14" width="11.7109375" customWidth="1"/>
    <col min="15" max="16" width="11" customWidth="1"/>
    <col min="17" max="18" width="10.5703125" customWidth="1"/>
    <col min="19" max="21" width="11.7109375" customWidth="1"/>
    <col min="22" max="23" width="11" customWidth="1"/>
    <col min="24" max="25" width="10.5703125" customWidth="1"/>
  </cols>
  <sheetData>
    <row r="1" spans="1:25" ht="42.75" customHeight="1" x14ac:dyDescent="0.25"/>
    <row r="3" spans="1:25" ht="42" customHeight="1" thickBot="1" x14ac:dyDescent="0.3">
      <c r="B3" s="172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</row>
    <row r="4" spans="1:25" ht="6" customHeight="1" x14ac:dyDescent="0.25"/>
    <row r="5" spans="1:25" ht="15.75" x14ac:dyDescent="0.25">
      <c r="B5" s="217"/>
      <c r="C5" s="203" t="s">
        <v>64</v>
      </c>
      <c r="D5" s="204"/>
      <c r="E5" s="204"/>
      <c r="F5" s="204"/>
      <c r="G5" s="204"/>
      <c r="H5" s="204"/>
      <c r="I5" s="204"/>
      <c r="J5" s="204"/>
      <c r="K5" s="203" t="s">
        <v>63</v>
      </c>
      <c r="L5" s="204"/>
      <c r="M5" s="204"/>
      <c r="N5" s="204"/>
      <c r="O5" s="204"/>
      <c r="P5" s="204"/>
      <c r="Q5" s="204"/>
      <c r="R5" s="204"/>
      <c r="S5" s="203" t="s">
        <v>139</v>
      </c>
      <c r="T5" s="204"/>
      <c r="U5" s="204"/>
      <c r="V5" s="204"/>
      <c r="W5" s="204"/>
      <c r="X5" s="204"/>
      <c r="Y5" s="204"/>
    </row>
    <row r="6" spans="1:25" s="177" customFormat="1" ht="72" customHeight="1" x14ac:dyDescent="0.25">
      <c r="B6" s="178"/>
      <c r="C6" s="205" t="s">
        <v>265</v>
      </c>
      <c r="D6" s="205" t="s">
        <v>266</v>
      </c>
      <c r="E6" s="205" t="s">
        <v>267</v>
      </c>
      <c r="F6" s="205" t="s">
        <v>268</v>
      </c>
      <c r="G6" s="205" t="s">
        <v>269</v>
      </c>
      <c r="H6" s="205" t="s">
        <v>270</v>
      </c>
      <c r="I6" s="206" t="str">
        <f>CONCATENATE("var. ",RIGHT(H6,2),"/",RIGHT(G6,2))</f>
        <v>var. 25/24</v>
      </c>
      <c r="J6" s="206" t="str">
        <f>CONCATENATE("Cuota s/ total lugares de residencia ",RIGHT(H6,4))</f>
        <v>Cuota s/ total lugares de residencia 2025</v>
      </c>
      <c r="K6" s="205" t="s">
        <v>265</v>
      </c>
      <c r="L6" s="205" t="s">
        <v>266</v>
      </c>
      <c r="M6" s="205" t="s">
        <v>267</v>
      </c>
      <c r="N6" s="205" t="s">
        <v>268</v>
      </c>
      <c r="O6" s="205" t="s">
        <v>269</v>
      </c>
      <c r="P6" s="205" t="s">
        <v>270</v>
      </c>
      <c r="Q6" s="206" t="str">
        <f>CONCATENATE("var. ",RIGHT(P6,2),"/",RIGHT(O6,2))</f>
        <v>var. 25/24</v>
      </c>
      <c r="R6" s="206" t="str">
        <f>CONCATENATE("Cuota s/ total lugares de residencia ",RIGHT(P6,4))</f>
        <v>Cuota s/ total lugares de residencia 2025</v>
      </c>
      <c r="S6" s="205" t="s">
        <v>265</v>
      </c>
      <c r="T6" s="205" t="s">
        <v>267</v>
      </c>
      <c r="U6" s="205" t="s">
        <v>268</v>
      </c>
      <c r="V6" s="205" t="s">
        <v>269</v>
      </c>
      <c r="W6" s="205" t="s">
        <v>270</v>
      </c>
      <c r="X6" s="206" t="str">
        <f>CONCATENATE("var. ",RIGHT(W6,2),"/",RIGHT(V6,2))</f>
        <v>var. 25/24</v>
      </c>
      <c r="Y6" s="206" t="str">
        <f>CONCATENATE("Cuota s/ total lugares de residencia ",RIGHT(W6,4))</f>
        <v>Cuota s/ total lugares de residencia 2025</v>
      </c>
    </row>
    <row r="7" spans="1:25" x14ac:dyDescent="0.25">
      <c r="A7" s="1"/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</row>
    <row r="8" spans="1:25" x14ac:dyDescent="0.25">
      <c r="A8" s="1"/>
      <c r="B8" s="187" t="s">
        <v>70</v>
      </c>
      <c r="C8" s="209">
        <f t="shared" ref="C8:H8" si="0">C9+C12</f>
        <v>218294</v>
      </c>
      <c r="D8" s="209">
        <f t="shared" si="0"/>
        <v>234168</v>
      </c>
      <c r="E8" s="209">
        <f t="shared" si="0"/>
        <v>550405</v>
      </c>
      <c r="F8" s="209">
        <f t="shared" si="0"/>
        <v>609467</v>
      </c>
      <c r="G8" s="209">
        <f t="shared" si="0"/>
        <v>629259</v>
      </c>
      <c r="H8" s="209">
        <f t="shared" si="0"/>
        <v>631127</v>
      </c>
      <c r="I8" s="210">
        <f>IFERROR(H8/G8-1,"-")</f>
        <v>2.9685709699820428E-3</v>
      </c>
      <c r="J8" s="210">
        <f t="shared" ref="J8:J20" si="1">H8/H$8</f>
        <v>1</v>
      </c>
      <c r="K8" s="209">
        <f t="shared" ref="K8:P8" si="2">K9+K12</f>
        <v>856735</v>
      </c>
      <c r="L8" s="209">
        <f t="shared" si="2"/>
        <v>1101788</v>
      </c>
      <c r="M8" s="209">
        <f t="shared" si="2"/>
        <v>2565617</v>
      </c>
      <c r="N8" s="209">
        <f t="shared" si="2"/>
        <v>2798721</v>
      </c>
      <c r="O8" s="209">
        <f t="shared" si="2"/>
        <v>2955884</v>
      </c>
      <c r="P8" s="209">
        <f t="shared" si="2"/>
        <v>2877891</v>
      </c>
      <c r="Q8" s="210">
        <f>IFERROR(P8/O8-1,"-")</f>
        <v>-2.6385676839821848E-2</v>
      </c>
      <c r="R8" s="210">
        <f t="shared" ref="R8:R20" si="3">P8/P$8</f>
        <v>1</v>
      </c>
      <c r="S8" s="209">
        <f>S9+S12</f>
        <v>1075029</v>
      </c>
      <c r="T8" s="209">
        <f>T9+T12</f>
        <v>3116022</v>
      </c>
      <c r="U8" s="209">
        <f>U9+U12</f>
        <v>3408188</v>
      </c>
      <c r="V8" s="209">
        <f>V9+V12</f>
        <v>3585143</v>
      </c>
      <c r="W8" s="209">
        <f>W9+W12</f>
        <v>3509018</v>
      </c>
      <c r="X8" s="210">
        <f>IFERROR(W8/V8-1,"-")</f>
        <v>-2.123346265406989E-2</v>
      </c>
      <c r="Y8" s="210">
        <f>W8/W$8</f>
        <v>1</v>
      </c>
    </row>
    <row r="9" spans="1:25" x14ac:dyDescent="0.25">
      <c r="A9" s="1"/>
      <c r="B9" s="190" t="s">
        <v>99</v>
      </c>
      <c r="C9" s="191">
        <v>69168</v>
      </c>
      <c r="D9" s="191">
        <v>99214</v>
      </c>
      <c r="E9" s="191">
        <v>148023</v>
      </c>
      <c r="F9" s="191">
        <v>178993</v>
      </c>
      <c r="G9" s="191">
        <v>184141</v>
      </c>
      <c r="H9" s="191">
        <v>176440</v>
      </c>
      <c r="I9" s="192">
        <f>IFERROR(H9/G9-1,"-")</f>
        <v>-4.1821213092141374E-2</v>
      </c>
      <c r="J9" s="192">
        <f t="shared" si="1"/>
        <v>0.2795633842316998</v>
      </c>
      <c r="K9" s="191">
        <v>264802</v>
      </c>
      <c r="L9" s="191">
        <v>468129</v>
      </c>
      <c r="M9" s="191">
        <v>595539</v>
      </c>
      <c r="N9" s="191">
        <v>590605</v>
      </c>
      <c r="O9" s="191">
        <v>583773</v>
      </c>
      <c r="P9" s="191">
        <v>590097</v>
      </c>
      <c r="Q9" s="192">
        <f>IFERROR(P9/O9-1,"-")</f>
        <v>1.0832977886952699E-2</v>
      </c>
      <c r="R9" s="192">
        <f t="shared" si="3"/>
        <v>0.20504494437072149</v>
      </c>
      <c r="S9" s="191">
        <v>333970</v>
      </c>
      <c r="T9" s="191">
        <v>743562</v>
      </c>
      <c r="U9" s="191">
        <v>769598</v>
      </c>
      <c r="V9" s="191">
        <v>767914</v>
      </c>
      <c r="W9" s="191">
        <v>766537</v>
      </c>
      <c r="X9" s="192">
        <f>IFERROR(W9/V9-1,"-")</f>
        <v>-1.7931695476316456E-3</v>
      </c>
      <c r="Y9" s="192">
        <f>W9/W$8</f>
        <v>0.21844772526102743</v>
      </c>
    </row>
    <row r="10" spans="1:25" x14ac:dyDescent="0.25">
      <c r="A10" s="193"/>
      <c r="B10" s="194" t="s">
        <v>105</v>
      </c>
      <c r="C10" s="195">
        <v>31208</v>
      </c>
      <c r="D10" s="195">
        <v>64998</v>
      </c>
      <c r="E10" s="195">
        <v>84765</v>
      </c>
      <c r="F10" s="195">
        <v>101819</v>
      </c>
      <c r="G10" s="195">
        <v>103638</v>
      </c>
      <c r="H10" s="195">
        <v>93988</v>
      </c>
      <c r="I10" s="196">
        <f>IFERROR(H10/G10-1,"-")</f>
        <v>-9.3112564889326288E-2</v>
      </c>
      <c r="J10" s="196">
        <f t="shared" si="1"/>
        <v>0.14892089864638972</v>
      </c>
      <c r="K10" s="195">
        <v>96313</v>
      </c>
      <c r="L10" s="195">
        <v>216360</v>
      </c>
      <c r="M10" s="195">
        <v>206818</v>
      </c>
      <c r="N10" s="195">
        <v>198077</v>
      </c>
      <c r="O10" s="195">
        <v>193012</v>
      </c>
      <c r="P10" s="195">
        <v>203891</v>
      </c>
      <c r="Q10" s="196">
        <f>IFERROR(P10/O10-1,"-")</f>
        <v>5.6364371127183732E-2</v>
      </c>
      <c r="R10" s="196">
        <f t="shared" si="3"/>
        <v>7.0847367047605345E-2</v>
      </c>
      <c r="S10" s="195">
        <v>127521</v>
      </c>
      <c r="T10" s="195">
        <v>291583</v>
      </c>
      <c r="U10" s="195">
        <v>299896</v>
      </c>
      <c r="V10" s="195">
        <v>296650</v>
      </c>
      <c r="W10" s="195">
        <v>297879</v>
      </c>
      <c r="X10" s="196">
        <f>IFERROR(W10/V10-1,"-")</f>
        <v>4.1429293780550491E-3</v>
      </c>
      <c r="Y10" s="196">
        <f>W10/W$8</f>
        <v>8.4889561695038321E-2</v>
      </c>
    </row>
    <row r="11" spans="1:25" x14ac:dyDescent="0.25">
      <c r="A11" s="193"/>
      <c r="B11" s="194" t="s">
        <v>102</v>
      </c>
      <c r="C11" s="195">
        <v>37960</v>
      </c>
      <c r="D11" s="195">
        <v>34216</v>
      </c>
      <c r="E11" s="195">
        <v>63258</v>
      </c>
      <c r="F11" s="195">
        <v>77174</v>
      </c>
      <c r="G11" s="195">
        <v>80503</v>
      </c>
      <c r="H11" s="195">
        <v>82452</v>
      </c>
      <c r="I11" s="196">
        <f>IFERROR(H11/G11-1,"-")</f>
        <v>2.4210277877843023E-2</v>
      </c>
      <c r="J11" s="196">
        <f t="shared" si="1"/>
        <v>0.13064248558531008</v>
      </c>
      <c r="K11" s="195">
        <v>168489</v>
      </c>
      <c r="L11" s="195">
        <v>251769</v>
      </c>
      <c r="M11" s="195">
        <v>388721</v>
      </c>
      <c r="N11" s="195">
        <v>392528</v>
      </c>
      <c r="O11" s="195">
        <v>390761</v>
      </c>
      <c r="P11" s="195">
        <v>386206</v>
      </c>
      <c r="Q11" s="196">
        <f>IFERROR(P11/O11-1,"-")</f>
        <v>-1.165674158884844E-2</v>
      </c>
      <c r="R11" s="196">
        <f t="shared" si="3"/>
        <v>0.13419757732311613</v>
      </c>
      <c r="S11" s="195">
        <v>206449</v>
      </c>
      <c r="T11" s="195">
        <v>451979</v>
      </c>
      <c r="U11" s="195">
        <v>469702</v>
      </c>
      <c r="V11" s="195">
        <v>471264</v>
      </c>
      <c r="W11" s="195">
        <v>468658</v>
      </c>
      <c r="X11" s="196">
        <f>IFERROR(W11/V11-1,"-")</f>
        <v>-5.5298091939973704E-3</v>
      </c>
      <c r="Y11" s="196">
        <f>W11/W$8</f>
        <v>0.13355816356598912</v>
      </c>
    </row>
    <row r="12" spans="1:25" x14ac:dyDescent="0.25">
      <c r="A12" s="1"/>
      <c r="B12" s="190" t="s">
        <v>109</v>
      </c>
      <c r="C12" s="191">
        <v>149126</v>
      </c>
      <c r="D12" s="191">
        <v>134954</v>
      </c>
      <c r="E12" s="191">
        <v>402382</v>
      </c>
      <c r="F12" s="191">
        <v>430474</v>
      </c>
      <c r="G12" s="191">
        <v>445118</v>
      </c>
      <c r="H12" s="191">
        <v>454687</v>
      </c>
      <c r="I12" s="192">
        <f>IFERROR(H12/G12-1,"-")</f>
        <v>2.1497670280689718E-2</v>
      </c>
      <c r="J12" s="192">
        <f t="shared" si="1"/>
        <v>0.7204366157683002</v>
      </c>
      <c r="K12" s="191">
        <v>591933</v>
      </c>
      <c r="L12" s="191">
        <v>633659</v>
      </c>
      <c r="M12" s="191">
        <v>1970078</v>
      </c>
      <c r="N12" s="191">
        <v>2208116</v>
      </c>
      <c r="O12" s="191">
        <v>2372111</v>
      </c>
      <c r="P12" s="191">
        <v>2287794</v>
      </c>
      <c r="Q12" s="192">
        <f>IFERROR(P12/O12-1,"-")</f>
        <v>-3.5545132584436367E-2</v>
      </c>
      <c r="R12" s="192">
        <f t="shared" si="3"/>
        <v>0.79495505562927848</v>
      </c>
      <c r="S12" s="191">
        <v>741059</v>
      </c>
      <c r="T12" s="191">
        <v>2372460</v>
      </c>
      <c r="U12" s="191">
        <v>2638590</v>
      </c>
      <c r="V12" s="191">
        <v>2817229</v>
      </c>
      <c r="W12" s="191">
        <v>2742481</v>
      </c>
      <c r="X12" s="192">
        <f>IFERROR(W12/V12-1,"-")</f>
        <v>-2.6532454408214612E-2</v>
      </c>
      <c r="Y12" s="192">
        <f>W12/W$8</f>
        <v>0.7815522747389726</v>
      </c>
    </row>
    <row r="13" spans="1:25" s="74" customFormat="1" x14ac:dyDescent="0.25">
      <c r="B13" s="194" t="s">
        <v>112</v>
      </c>
      <c r="C13" s="195">
        <v>48583</v>
      </c>
      <c r="D13" s="195">
        <v>29915</v>
      </c>
      <c r="E13" s="195">
        <v>152375</v>
      </c>
      <c r="F13" s="195">
        <v>170625</v>
      </c>
      <c r="G13" s="195">
        <v>170073</v>
      </c>
      <c r="H13" s="195">
        <v>166904</v>
      </c>
      <c r="I13" s="196">
        <f t="shared" ref="I13:I20" si="4">IFERROR(H13/G13-1,"-")</f>
        <v>-1.8633175165958193E-2</v>
      </c>
      <c r="J13" s="196">
        <f t="shared" si="1"/>
        <v>0.26445390547385866</v>
      </c>
      <c r="K13" s="195">
        <v>229035</v>
      </c>
      <c r="L13" s="195">
        <v>167632</v>
      </c>
      <c r="M13" s="195">
        <v>946984</v>
      </c>
      <c r="N13" s="195">
        <v>1052168</v>
      </c>
      <c r="O13" s="195">
        <v>1121972</v>
      </c>
      <c r="P13" s="195">
        <v>1099926</v>
      </c>
      <c r="Q13" s="196">
        <f t="shared" ref="Q13:Q20" si="5">IFERROR(P13/O13-1,"-")</f>
        <v>-1.9649331712377816E-2</v>
      </c>
      <c r="R13" s="196">
        <f t="shared" si="3"/>
        <v>0.38219863087239925</v>
      </c>
      <c r="S13" s="195">
        <v>277618</v>
      </c>
      <c r="T13" s="195">
        <v>1099359</v>
      </c>
      <c r="U13" s="195">
        <v>1222793</v>
      </c>
      <c r="V13" s="195">
        <v>1292045</v>
      </c>
      <c r="W13" s="195">
        <v>1266830</v>
      </c>
      <c r="X13" s="196">
        <f t="shared" ref="X13:X20" si="6">IFERROR(W13/V13-1,"-")</f>
        <v>-1.9515574147959236E-2</v>
      </c>
      <c r="Y13" s="196">
        <f t="shared" ref="Y13:Y20" si="7">W13/W$8</f>
        <v>0.36102123158102922</v>
      </c>
    </row>
    <row r="14" spans="1:25" s="74" customFormat="1" x14ac:dyDescent="0.25">
      <c r="B14" s="194" t="s">
        <v>115</v>
      </c>
      <c r="C14" s="195">
        <v>21675</v>
      </c>
      <c r="D14" s="195">
        <v>24517</v>
      </c>
      <c r="E14" s="195">
        <v>50078</v>
      </c>
      <c r="F14" s="195">
        <v>57109</v>
      </c>
      <c r="G14" s="195">
        <v>58523</v>
      </c>
      <c r="H14" s="195">
        <v>60928</v>
      </c>
      <c r="I14" s="196">
        <f t="shared" si="4"/>
        <v>4.1094954120602267E-2</v>
      </c>
      <c r="J14" s="196">
        <f t="shared" si="1"/>
        <v>9.6538414613857426E-2</v>
      </c>
      <c r="K14" s="195">
        <v>83087</v>
      </c>
      <c r="L14" s="195">
        <v>100470</v>
      </c>
      <c r="M14" s="195">
        <v>213954</v>
      </c>
      <c r="N14" s="195">
        <v>245101</v>
      </c>
      <c r="O14" s="195">
        <v>253634</v>
      </c>
      <c r="P14" s="195">
        <v>242490</v>
      </c>
      <c r="Q14" s="196">
        <f t="shared" si="5"/>
        <v>-4.3937327014517025E-2</v>
      </c>
      <c r="R14" s="196">
        <f t="shared" si="3"/>
        <v>8.4259619283704623E-2</v>
      </c>
      <c r="S14" s="195">
        <v>104762</v>
      </c>
      <c r="T14" s="195">
        <v>264032</v>
      </c>
      <c r="U14" s="195">
        <v>302210</v>
      </c>
      <c r="V14" s="195">
        <v>312157</v>
      </c>
      <c r="W14" s="195">
        <v>303418</v>
      </c>
      <c r="X14" s="196">
        <f t="shared" si="6"/>
        <v>-2.7995527891413574E-2</v>
      </c>
      <c r="Y14" s="196">
        <f t="shared" si="7"/>
        <v>8.6468065994531801E-2</v>
      </c>
    </row>
    <row r="15" spans="1:25" x14ac:dyDescent="0.25">
      <c r="A15" s="1"/>
      <c r="B15" s="194" t="s">
        <v>118</v>
      </c>
      <c r="C15" s="195">
        <v>10155</v>
      </c>
      <c r="D15" s="195">
        <v>16229</v>
      </c>
      <c r="E15" s="195">
        <v>26590</v>
      </c>
      <c r="F15" s="195">
        <v>29348</v>
      </c>
      <c r="G15" s="195">
        <v>28513</v>
      </c>
      <c r="H15" s="195">
        <v>30473</v>
      </c>
      <c r="I15" s="196">
        <f t="shared" si="4"/>
        <v>6.8740574474800864E-2</v>
      </c>
      <c r="J15" s="196">
        <f t="shared" si="1"/>
        <v>4.8283467511293289E-2</v>
      </c>
      <c r="K15" s="195">
        <v>33981</v>
      </c>
      <c r="L15" s="195">
        <v>63373</v>
      </c>
      <c r="M15" s="195">
        <v>112326</v>
      </c>
      <c r="N15" s="195">
        <v>122771</v>
      </c>
      <c r="O15" s="195">
        <v>137893</v>
      </c>
      <c r="P15" s="195">
        <v>126008</v>
      </c>
      <c r="Q15" s="196">
        <f t="shared" si="5"/>
        <v>-8.6190016897159438E-2</v>
      </c>
      <c r="R15" s="196">
        <f t="shared" si="3"/>
        <v>4.3784841052006487E-2</v>
      </c>
      <c r="S15" s="195">
        <v>44136</v>
      </c>
      <c r="T15" s="195">
        <v>138916</v>
      </c>
      <c r="U15" s="195">
        <v>152119</v>
      </c>
      <c r="V15" s="195">
        <v>166406</v>
      </c>
      <c r="W15" s="195">
        <v>156481</v>
      </c>
      <c r="X15" s="196">
        <f t="shared" si="6"/>
        <v>-5.9643282093193806E-2</v>
      </c>
      <c r="Y15" s="196">
        <f t="shared" si="7"/>
        <v>4.4593957625751704E-2</v>
      </c>
    </row>
    <row r="16" spans="1:25" x14ac:dyDescent="0.25">
      <c r="A16" s="1"/>
      <c r="B16" s="194" t="s">
        <v>125</v>
      </c>
      <c r="C16" s="195">
        <v>4195</v>
      </c>
      <c r="D16" s="195">
        <v>5622</v>
      </c>
      <c r="E16" s="195">
        <v>16119</v>
      </c>
      <c r="F16" s="195">
        <v>11923</v>
      </c>
      <c r="G16" s="195">
        <v>11442</v>
      </c>
      <c r="H16" s="195">
        <v>11036</v>
      </c>
      <c r="I16" s="196">
        <f t="shared" si="4"/>
        <v>-3.5483307114140938E-2</v>
      </c>
      <c r="J16" s="196">
        <f t="shared" si="1"/>
        <v>1.7486179485270002E-2</v>
      </c>
      <c r="K16" s="195">
        <v>21386</v>
      </c>
      <c r="L16" s="195">
        <v>39702</v>
      </c>
      <c r="M16" s="195">
        <v>89016</v>
      </c>
      <c r="N16" s="195">
        <v>86478</v>
      </c>
      <c r="O16" s="195">
        <v>96077</v>
      </c>
      <c r="P16" s="195">
        <v>88315</v>
      </c>
      <c r="Q16" s="196">
        <f t="shared" si="5"/>
        <v>-8.0789366861996115E-2</v>
      </c>
      <c r="R16" s="196">
        <f t="shared" si="3"/>
        <v>3.0687402684813288E-2</v>
      </c>
      <c r="S16" s="195">
        <v>25581</v>
      </c>
      <c r="T16" s="195">
        <v>105135</v>
      </c>
      <c r="U16" s="195">
        <v>98401</v>
      </c>
      <c r="V16" s="195">
        <v>107519</v>
      </c>
      <c r="W16" s="195">
        <v>99351</v>
      </c>
      <c r="X16" s="196">
        <f t="shared" si="6"/>
        <v>-7.5967968452087531E-2</v>
      </c>
      <c r="Y16" s="196">
        <f t="shared" si="7"/>
        <v>2.8313049405845166E-2</v>
      </c>
    </row>
    <row r="17" spans="1:25" x14ac:dyDescent="0.25">
      <c r="A17" s="74"/>
      <c r="B17" s="194" t="s">
        <v>121</v>
      </c>
      <c r="C17" s="195">
        <v>4827</v>
      </c>
      <c r="D17" s="195">
        <v>3820</v>
      </c>
      <c r="E17" s="195">
        <v>8442</v>
      </c>
      <c r="F17" s="195">
        <v>8382</v>
      </c>
      <c r="G17" s="195">
        <v>7699</v>
      </c>
      <c r="H17" s="195">
        <v>8233</v>
      </c>
      <c r="I17" s="196">
        <f t="shared" si="4"/>
        <v>6.9359657098324368E-2</v>
      </c>
      <c r="J17" s="196">
        <f t="shared" si="1"/>
        <v>1.3044918059281254E-2</v>
      </c>
      <c r="K17" s="195">
        <v>40327</v>
      </c>
      <c r="L17" s="195">
        <v>51275</v>
      </c>
      <c r="M17" s="195">
        <v>99066</v>
      </c>
      <c r="N17" s="195">
        <v>102189</v>
      </c>
      <c r="O17" s="195">
        <v>108005</v>
      </c>
      <c r="P17" s="195">
        <v>98078</v>
      </c>
      <c r="Q17" s="196">
        <f t="shared" si="5"/>
        <v>-9.1912411462432342E-2</v>
      </c>
      <c r="R17" s="196">
        <f t="shared" si="3"/>
        <v>3.4079817477451368E-2</v>
      </c>
      <c r="S17" s="195">
        <v>45154</v>
      </c>
      <c r="T17" s="195">
        <v>107508</v>
      </c>
      <c r="U17" s="195">
        <v>110571</v>
      </c>
      <c r="V17" s="195">
        <v>115704</v>
      </c>
      <c r="W17" s="195">
        <v>106311</v>
      </c>
      <c r="X17" s="196">
        <f t="shared" si="6"/>
        <v>-8.1181290188757527E-2</v>
      </c>
      <c r="Y17" s="196">
        <f t="shared" si="7"/>
        <v>3.0296510305732258E-2</v>
      </c>
    </row>
    <row r="18" spans="1:25" x14ac:dyDescent="0.25">
      <c r="A18" s="74"/>
      <c r="B18" s="194" t="s">
        <v>130</v>
      </c>
      <c r="C18" s="195">
        <v>3300</v>
      </c>
      <c r="D18" s="195">
        <v>767</v>
      </c>
      <c r="E18" s="195">
        <v>4401</v>
      </c>
      <c r="F18" s="195">
        <v>4797</v>
      </c>
      <c r="G18" s="195">
        <v>3926</v>
      </c>
      <c r="H18" s="195">
        <v>4451</v>
      </c>
      <c r="I18" s="196">
        <f t="shared" si="4"/>
        <v>0.1337238920020376</v>
      </c>
      <c r="J18" s="196">
        <f t="shared" si="1"/>
        <v>7.0524632918572651E-3</v>
      </c>
      <c r="K18" s="195">
        <v>14838</v>
      </c>
      <c r="L18" s="195">
        <v>4354</v>
      </c>
      <c r="M18" s="195">
        <v>24570</v>
      </c>
      <c r="N18" s="195">
        <v>29489</v>
      </c>
      <c r="O18" s="195">
        <v>27617</v>
      </c>
      <c r="P18" s="195">
        <v>25535</v>
      </c>
      <c r="Q18" s="196">
        <f t="shared" si="5"/>
        <v>-7.5388347756816465E-2</v>
      </c>
      <c r="R18" s="196">
        <f t="shared" si="3"/>
        <v>8.8728169343453237E-3</v>
      </c>
      <c r="S18" s="195">
        <v>18138</v>
      </c>
      <c r="T18" s="195">
        <v>28971</v>
      </c>
      <c r="U18" s="195">
        <v>34286</v>
      </c>
      <c r="V18" s="195">
        <v>31543</v>
      </c>
      <c r="W18" s="195">
        <v>29986</v>
      </c>
      <c r="X18" s="196">
        <f t="shared" si="6"/>
        <v>-4.9361189487366453E-2</v>
      </c>
      <c r="Y18" s="196">
        <f t="shared" si="7"/>
        <v>8.5454107103468836E-3</v>
      </c>
    </row>
    <row r="19" spans="1:25" x14ac:dyDescent="0.25">
      <c r="A19" s="74"/>
      <c r="B19" s="194" t="s">
        <v>133</v>
      </c>
      <c r="C19" s="195">
        <v>3358</v>
      </c>
      <c r="D19" s="195">
        <v>533</v>
      </c>
      <c r="E19" s="195">
        <v>2337</v>
      </c>
      <c r="F19" s="195">
        <v>2922</v>
      </c>
      <c r="G19" s="195">
        <v>2431</v>
      </c>
      <c r="H19" s="195">
        <v>2591</v>
      </c>
      <c r="I19" s="196">
        <f t="shared" si="4"/>
        <v>6.5816536404771808E-2</v>
      </c>
      <c r="J19" s="196">
        <f t="shared" si="1"/>
        <v>4.105354389845467E-3</v>
      </c>
      <c r="K19" s="195">
        <v>21335</v>
      </c>
      <c r="L19" s="195">
        <v>3282</v>
      </c>
      <c r="M19" s="195">
        <v>18440</v>
      </c>
      <c r="N19" s="195">
        <v>27757</v>
      </c>
      <c r="O19" s="195">
        <v>26099</v>
      </c>
      <c r="P19" s="195">
        <v>21550</v>
      </c>
      <c r="Q19" s="196">
        <f t="shared" si="5"/>
        <v>-0.17429786581861373</v>
      </c>
      <c r="R19" s="196">
        <f t="shared" si="3"/>
        <v>7.4881223785056485E-3</v>
      </c>
      <c r="S19" s="195">
        <v>24693</v>
      </c>
      <c r="T19" s="195">
        <v>20777</v>
      </c>
      <c r="U19" s="195">
        <v>30679</v>
      </c>
      <c r="V19" s="195">
        <v>28530</v>
      </c>
      <c r="W19" s="195">
        <v>24141</v>
      </c>
      <c r="X19" s="196">
        <f t="shared" si="6"/>
        <v>-0.15383806519453203</v>
      </c>
      <c r="Y19" s="196">
        <f t="shared" si="7"/>
        <v>6.8797025264618191E-3</v>
      </c>
    </row>
    <row r="20" spans="1:25" x14ac:dyDescent="0.25">
      <c r="A20" s="74"/>
      <c r="B20" s="199" t="s">
        <v>147</v>
      </c>
      <c r="C20" s="200">
        <f t="shared" ref="C20" si="8">C12-SUM(C13:C19)</f>
        <v>53033</v>
      </c>
      <c r="D20" s="200">
        <f t="shared" ref="D20:H20" si="9">D12-SUM(D13:D19)</f>
        <v>53551</v>
      </c>
      <c r="E20" s="200">
        <f t="shared" si="9"/>
        <v>142040</v>
      </c>
      <c r="F20" s="200">
        <f t="shared" si="9"/>
        <v>145368</v>
      </c>
      <c r="G20" s="200">
        <f t="shared" si="9"/>
        <v>162511</v>
      </c>
      <c r="H20" s="200">
        <f t="shared" si="9"/>
        <v>170071</v>
      </c>
      <c r="I20" s="201">
        <f t="shared" si="4"/>
        <v>4.6519927881804923E-2</v>
      </c>
      <c r="J20" s="201">
        <f t="shared" si="1"/>
        <v>0.2694719129430368</v>
      </c>
      <c r="K20" s="200">
        <f t="shared" ref="K20:P20" si="10">K12-SUM(K13:K19)</f>
        <v>147944</v>
      </c>
      <c r="L20" s="200">
        <f t="shared" si="10"/>
        <v>203571</v>
      </c>
      <c r="M20" s="200">
        <f t="shared" si="10"/>
        <v>465722</v>
      </c>
      <c r="N20" s="200">
        <f t="shared" si="10"/>
        <v>542163</v>
      </c>
      <c r="O20" s="200">
        <f t="shared" si="10"/>
        <v>600814</v>
      </c>
      <c r="P20" s="200">
        <f t="shared" si="10"/>
        <v>585892</v>
      </c>
      <c r="Q20" s="201">
        <f t="shared" si="5"/>
        <v>-2.4836305412323956E-2</v>
      </c>
      <c r="R20" s="201">
        <f t="shared" si="3"/>
        <v>0.20358380494605252</v>
      </c>
      <c r="S20" s="200">
        <f>S12-SUM(S13:S19)</f>
        <v>200977</v>
      </c>
      <c r="T20" s="200">
        <f>T12-SUM(T13:T19)</f>
        <v>607762</v>
      </c>
      <c r="U20" s="200">
        <f>U12-SUM(U13:U19)</f>
        <v>687531</v>
      </c>
      <c r="V20" s="200">
        <f>V12-SUM(V13:V19)</f>
        <v>763325</v>
      </c>
      <c r="W20" s="200">
        <f>W12-SUM(W13:W19)</f>
        <v>755963</v>
      </c>
      <c r="X20" s="201">
        <f t="shared" si="6"/>
        <v>-9.6446467756198251E-3</v>
      </c>
      <c r="Y20" s="201">
        <f t="shared" si="7"/>
        <v>0.21543434658927368</v>
      </c>
    </row>
    <row r="21" spans="1:25" x14ac:dyDescent="0.25">
      <c r="A21" s="74"/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</row>
    <row r="22" spans="1:25" x14ac:dyDescent="0.25">
      <c r="A22" s="74"/>
      <c r="B22" s="187" t="s">
        <v>70</v>
      </c>
      <c r="C22" s="209">
        <f t="shared" ref="C22:H22" si="11">C23+C26</f>
        <v>40145</v>
      </c>
      <c r="D22" s="209">
        <f t="shared" si="11"/>
        <v>41580</v>
      </c>
      <c r="E22" s="209">
        <f t="shared" si="11"/>
        <v>135229</v>
      </c>
      <c r="F22" s="209">
        <f t="shared" si="11"/>
        <v>138754</v>
      </c>
      <c r="G22" s="209">
        <f t="shared" si="11"/>
        <v>128262</v>
      </c>
      <c r="H22" s="209">
        <f t="shared" si="11"/>
        <v>135348</v>
      </c>
      <c r="I22" s="210">
        <f>IFERROR(H22/G22-1,"-")</f>
        <v>5.5246292744538517E-2</v>
      </c>
      <c r="J22" s="210">
        <f t="shared" ref="J22:J34" si="12">H22/H$8</f>
        <v>0.21445446003736174</v>
      </c>
      <c r="K22" s="209">
        <f t="shared" ref="K22:P22" si="13">K23+K26</f>
        <v>335669</v>
      </c>
      <c r="L22" s="209">
        <f t="shared" si="13"/>
        <v>506074</v>
      </c>
      <c r="M22" s="209">
        <f t="shared" si="13"/>
        <v>1107316</v>
      </c>
      <c r="N22" s="209">
        <f t="shared" si="13"/>
        <v>1149793</v>
      </c>
      <c r="O22" s="209">
        <f t="shared" si="13"/>
        <v>1192213</v>
      </c>
      <c r="P22" s="209">
        <f t="shared" si="13"/>
        <v>1096330</v>
      </c>
      <c r="Q22" s="210">
        <f>IFERROR(P22/O22-1,"-")</f>
        <v>-8.0424387252948981E-2</v>
      </c>
      <c r="R22" s="210">
        <f t="shared" ref="R22:R34" si="14">P22/P$8</f>
        <v>0.38094910474371685</v>
      </c>
      <c r="S22" s="209">
        <f>S23+S26</f>
        <v>375814</v>
      </c>
      <c r="T22" s="209">
        <f>T23+T26</f>
        <v>1242545</v>
      </c>
      <c r="U22" s="209">
        <f>U23+U26</f>
        <v>1288547</v>
      </c>
      <c r="V22" s="209">
        <f>V23+V26</f>
        <v>1320475</v>
      </c>
      <c r="W22" s="209">
        <f>W23+W26</f>
        <v>1231678</v>
      </c>
      <c r="X22" s="210">
        <f>IFERROR(W22/V22-1,"-")</f>
        <v>-6.7246256082091671E-2</v>
      </c>
      <c r="Y22" s="210">
        <f>W22/W$8</f>
        <v>0.35100361411654202</v>
      </c>
    </row>
    <row r="23" spans="1:25" x14ac:dyDescent="0.25">
      <c r="A23" s="74"/>
      <c r="B23" s="190" t="s">
        <v>99</v>
      </c>
      <c r="C23" s="191">
        <v>2633</v>
      </c>
      <c r="D23" s="191">
        <v>7752</v>
      </c>
      <c r="E23" s="191">
        <v>11083</v>
      </c>
      <c r="F23" s="191">
        <v>10580</v>
      </c>
      <c r="G23" s="191">
        <v>6847</v>
      </c>
      <c r="H23" s="191">
        <v>8437</v>
      </c>
      <c r="I23" s="192">
        <f>IFERROR(H23/G23-1,"-")</f>
        <v>0.23221848984956917</v>
      </c>
      <c r="J23" s="192">
        <f t="shared" si="12"/>
        <v>1.3368149358211579E-2</v>
      </c>
      <c r="K23" s="191">
        <v>71371</v>
      </c>
      <c r="L23" s="191">
        <v>178880</v>
      </c>
      <c r="M23" s="191">
        <v>143433</v>
      </c>
      <c r="N23" s="191">
        <v>116673</v>
      </c>
      <c r="O23" s="191">
        <v>106162</v>
      </c>
      <c r="P23" s="191">
        <v>89609</v>
      </c>
      <c r="Q23" s="192">
        <f>IFERROR(P23/O23-1,"-")</f>
        <v>-0.15592208134737473</v>
      </c>
      <c r="R23" s="192">
        <f t="shared" si="14"/>
        <v>3.1137037504200125E-2</v>
      </c>
      <c r="S23" s="191">
        <v>74004</v>
      </c>
      <c r="T23" s="191">
        <v>154516</v>
      </c>
      <c r="U23" s="191">
        <v>127253</v>
      </c>
      <c r="V23" s="191">
        <v>113009</v>
      </c>
      <c r="W23" s="191">
        <v>98046</v>
      </c>
      <c r="X23" s="192">
        <f>IFERROR(W23/V23-1,"-")</f>
        <v>-0.13240538364201082</v>
      </c>
      <c r="Y23" s="192">
        <f>W23/W$8</f>
        <v>2.7941150487116338E-2</v>
      </c>
    </row>
    <row r="24" spans="1:25" x14ac:dyDescent="0.25">
      <c r="A24" s="74"/>
      <c r="B24" s="194" t="s">
        <v>105</v>
      </c>
      <c r="C24" s="195">
        <v>1649</v>
      </c>
      <c r="D24" s="195">
        <v>3874</v>
      </c>
      <c r="E24" s="195">
        <v>5353</v>
      </c>
      <c r="F24" s="195">
        <v>5102</v>
      </c>
      <c r="G24" s="195">
        <v>2225</v>
      </c>
      <c r="H24" s="195">
        <v>2521</v>
      </c>
      <c r="I24" s="196">
        <f>IFERROR(H24/G24-1,"-")</f>
        <v>0.13303370786516844</v>
      </c>
      <c r="J24" s="196">
        <f t="shared" si="12"/>
        <v>3.9944416892321198E-3</v>
      </c>
      <c r="K24" s="195">
        <v>35772</v>
      </c>
      <c r="L24" s="195">
        <v>85392</v>
      </c>
      <c r="M24" s="195">
        <v>56425</v>
      </c>
      <c r="N24" s="195">
        <v>45103</v>
      </c>
      <c r="O24" s="195">
        <v>37371</v>
      </c>
      <c r="P24" s="195">
        <v>42213</v>
      </c>
      <c r="Q24" s="196">
        <f>IFERROR(P24/O24-1,"-")</f>
        <v>0.12956570602873896</v>
      </c>
      <c r="R24" s="196">
        <f t="shared" si="14"/>
        <v>1.4668032944958652E-2</v>
      </c>
      <c r="S24" s="195">
        <v>37421</v>
      </c>
      <c r="T24" s="195">
        <v>61778</v>
      </c>
      <c r="U24" s="195">
        <v>50205</v>
      </c>
      <c r="V24" s="195">
        <v>39596</v>
      </c>
      <c r="W24" s="195">
        <v>45144</v>
      </c>
      <c r="X24" s="196">
        <f>IFERROR(W24/V24-1,"-")</f>
        <v>0.1401151631477926</v>
      </c>
      <c r="Y24" s="196">
        <f>W24/W$8</f>
        <v>1.2865137767888338E-2</v>
      </c>
    </row>
    <row r="25" spans="1:25" x14ac:dyDescent="0.25">
      <c r="A25" s="74"/>
      <c r="B25" s="194" t="s">
        <v>102</v>
      </c>
      <c r="C25" s="195">
        <v>984</v>
      </c>
      <c r="D25" s="195">
        <v>3878</v>
      </c>
      <c r="E25" s="195">
        <v>5730</v>
      </c>
      <c r="F25" s="195">
        <v>5478</v>
      </c>
      <c r="G25" s="195">
        <v>4622</v>
      </c>
      <c r="H25" s="195">
        <v>5074</v>
      </c>
      <c r="I25" s="196">
        <f>IFERROR(H25/G25-1,"-")</f>
        <v>9.7793163132843031E-2</v>
      </c>
      <c r="J25" s="196">
        <f t="shared" si="12"/>
        <v>8.0395863273160558E-3</v>
      </c>
      <c r="K25" s="195">
        <v>35599</v>
      </c>
      <c r="L25" s="195">
        <v>93488</v>
      </c>
      <c r="M25" s="195">
        <v>87008</v>
      </c>
      <c r="N25" s="195">
        <v>71570</v>
      </c>
      <c r="O25" s="195">
        <v>68791</v>
      </c>
      <c r="P25" s="195">
        <v>47396</v>
      </c>
      <c r="Q25" s="196">
        <f>IFERROR(P25/O25-1,"-")</f>
        <v>-0.31101452224854997</v>
      </c>
      <c r="R25" s="196">
        <f t="shared" si="14"/>
        <v>1.6469004559241471E-2</v>
      </c>
      <c r="S25" s="195">
        <v>36583</v>
      </c>
      <c r="T25" s="195">
        <v>92738</v>
      </c>
      <c r="U25" s="195">
        <v>77048</v>
      </c>
      <c r="V25" s="195">
        <v>73413</v>
      </c>
      <c r="W25" s="195">
        <v>52902</v>
      </c>
      <c r="X25" s="196">
        <f>IFERROR(W25/V25-1,"-")</f>
        <v>-0.27939193330881451</v>
      </c>
      <c r="Y25" s="196">
        <f>W25/W$8</f>
        <v>1.5076012719228E-2</v>
      </c>
    </row>
    <row r="26" spans="1:25" x14ac:dyDescent="0.25">
      <c r="A26" s="74"/>
      <c r="B26" s="190" t="s">
        <v>109</v>
      </c>
      <c r="C26" s="191">
        <v>37512</v>
      </c>
      <c r="D26" s="191">
        <v>33828</v>
      </c>
      <c r="E26" s="191">
        <v>124146</v>
      </c>
      <c r="F26" s="191">
        <v>128174</v>
      </c>
      <c r="G26" s="191">
        <v>121415</v>
      </c>
      <c r="H26" s="191">
        <v>126911</v>
      </c>
      <c r="I26" s="192">
        <f>IFERROR(H26/G26-1,"-")</f>
        <v>4.5266235638100838E-2</v>
      </c>
      <c r="J26" s="192">
        <f t="shared" si="12"/>
        <v>0.20108631067915014</v>
      </c>
      <c r="K26" s="191">
        <v>264298</v>
      </c>
      <c r="L26" s="191">
        <v>327194</v>
      </c>
      <c r="M26" s="191">
        <v>963883</v>
      </c>
      <c r="N26" s="191">
        <v>1033120</v>
      </c>
      <c r="O26" s="191">
        <v>1086051</v>
      </c>
      <c r="P26" s="191">
        <v>1006721</v>
      </c>
      <c r="Q26" s="192">
        <f>IFERROR(P26/O26-1,"-")</f>
        <v>-7.304445187196551E-2</v>
      </c>
      <c r="R26" s="192">
        <f t="shared" si="14"/>
        <v>0.34981206723951669</v>
      </c>
      <c r="S26" s="191">
        <v>301810</v>
      </c>
      <c r="T26" s="191">
        <v>1088029</v>
      </c>
      <c r="U26" s="191">
        <v>1161294</v>
      </c>
      <c r="V26" s="191">
        <v>1207466</v>
      </c>
      <c r="W26" s="191">
        <v>1133632</v>
      </c>
      <c r="X26" s="192">
        <f>IFERROR(W26/V26-1,"-")</f>
        <v>-6.1147891534834131E-2</v>
      </c>
      <c r="Y26" s="192">
        <f>W26/W$8</f>
        <v>0.32306246362942564</v>
      </c>
    </row>
    <row r="27" spans="1:25" s="74" customFormat="1" x14ac:dyDescent="0.25">
      <c r="B27" s="194" t="s">
        <v>112</v>
      </c>
      <c r="C27" s="195">
        <v>14271</v>
      </c>
      <c r="D27" s="195">
        <v>8627</v>
      </c>
      <c r="E27" s="195">
        <v>54528</v>
      </c>
      <c r="F27" s="195">
        <v>57978</v>
      </c>
      <c r="G27" s="195">
        <v>54006</v>
      </c>
      <c r="H27" s="195">
        <v>55225</v>
      </c>
      <c r="I27" s="196">
        <f t="shared" ref="I27:I34" si="15">IFERROR(H27/G27-1,"-")</f>
        <v>2.2571566122282727E-2</v>
      </c>
      <c r="J27" s="196">
        <f t="shared" si="12"/>
        <v>8.7502198448172877E-2</v>
      </c>
      <c r="K27" s="195">
        <v>109883</v>
      </c>
      <c r="L27" s="195">
        <v>94750</v>
      </c>
      <c r="M27" s="195">
        <v>497484</v>
      </c>
      <c r="N27" s="195">
        <v>538896</v>
      </c>
      <c r="O27" s="195">
        <v>565581</v>
      </c>
      <c r="P27" s="195">
        <v>532342</v>
      </c>
      <c r="Q27" s="196">
        <f t="shared" ref="Q27:Q34" si="16">IFERROR(P27/O27-1,"-")</f>
        <v>-5.8769654567603968E-2</v>
      </c>
      <c r="R27" s="196">
        <f t="shared" si="14"/>
        <v>0.18497642891964985</v>
      </c>
      <c r="S27" s="195">
        <v>124154</v>
      </c>
      <c r="T27" s="195">
        <v>552012</v>
      </c>
      <c r="U27" s="195">
        <v>596874</v>
      </c>
      <c r="V27" s="195">
        <v>619587</v>
      </c>
      <c r="W27" s="195">
        <v>587567</v>
      </c>
      <c r="X27" s="196">
        <f t="shared" ref="X27:X34" si="17">IFERROR(W27/V27-1,"-")</f>
        <v>-5.1679586563307511E-2</v>
      </c>
      <c r="Y27" s="196">
        <f t="shared" ref="Y27:Y34" si="18">W27/W$8</f>
        <v>0.16744485209252274</v>
      </c>
    </row>
    <row r="28" spans="1:25" s="74" customFormat="1" x14ac:dyDescent="0.25">
      <c r="B28" s="194" t="s">
        <v>115</v>
      </c>
      <c r="C28" s="195">
        <v>6747</v>
      </c>
      <c r="D28" s="195">
        <v>9627</v>
      </c>
      <c r="E28" s="195">
        <v>22193</v>
      </c>
      <c r="F28" s="195">
        <v>25099</v>
      </c>
      <c r="G28" s="195">
        <v>24378</v>
      </c>
      <c r="H28" s="195">
        <v>25324</v>
      </c>
      <c r="I28" s="196">
        <f t="shared" si="15"/>
        <v>3.8805480351136179E-2</v>
      </c>
      <c r="J28" s="196">
        <f t="shared" si="12"/>
        <v>4.0125046147605793E-2</v>
      </c>
      <c r="K28" s="195">
        <v>32940</v>
      </c>
      <c r="L28" s="195">
        <v>56231</v>
      </c>
      <c r="M28" s="195">
        <v>103293</v>
      </c>
      <c r="N28" s="195">
        <v>111487</v>
      </c>
      <c r="O28" s="195">
        <v>112336</v>
      </c>
      <c r="P28" s="195">
        <v>101009</v>
      </c>
      <c r="Q28" s="196">
        <f t="shared" si="16"/>
        <v>-0.10083143426862273</v>
      </c>
      <c r="R28" s="196">
        <f t="shared" si="14"/>
        <v>3.5098271616263436E-2</v>
      </c>
      <c r="S28" s="195">
        <v>39687</v>
      </c>
      <c r="T28" s="195">
        <v>125486</v>
      </c>
      <c r="U28" s="195">
        <v>136586</v>
      </c>
      <c r="V28" s="195">
        <v>136714</v>
      </c>
      <c r="W28" s="195">
        <v>126333</v>
      </c>
      <c r="X28" s="196">
        <f t="shared" si="17"/>
        <v>-7.5932238102900951E-2</v>
      </c>
      <c r="Y28" s="196">
        <f t="shared" si="18"/>
        <v>3.6002380153079862E-2</v>
      </c>
    </row>
    <row r="29" spans="1:25" x14ac:dyDescent="0.25">
      <c r="A29" s="74"/>
      <c r="B29" s="194" t="s">
        <v>118</v>
      </c>
      <c r="C29" s="195">
        <v>2801</v>
      </c>
      <c r="D29" s="195">
        <v>4115</v>
      </c>
      <c r="E29" s="195">
        <v>3452</v>
      </c>
      <c r="F29" s="195">
        <v>2636</v>
      </c>
      <c r="G29" s="195">
        <v>2608</v>
      </c>
      <c r="H29" s="195">
        <v>2958</v>
      </c>
      <c r="I29" s="196">
        <f t="shared" si="15"/>
        <v>0.13420245398773001</v>
      </c>
      <c r="J29" s="196">
        <f t="shared" si="12"/>
        <v>4.6868538344897303E-3</v>
      </c>
      <c r="K29" s="195">
        <v>12267</v>
      </c>
      <c r="L29" s="195">
        <v>23779</v>
      </c>
      <c r="M29" s="195">
        <v>41597</v>
      </c>
      <c r="N29" s="195">
        <v>38094</v>
      </c>
      <c r="O29" s="195">
        <v>33969</v>
      </c>
      <c r="P29" s="195">
        <v>31430</v>
      </c>
      <c r="Q29" s="196">
        <f t="shared" si="16"/>
        <v>-7.4744620094792324E-2</v>
      </c>
      <c r="R29" s="196">
        <f t="shared" si="14"/>
        <v>1.0921191942293853E-2</v>
      </c>
      <c r="S29" s="195">
        <v>15068</v>
      </c>
      <c r="T29" s="195">
        <v>45049</v>
      </c>
      <c r="U29" s="195">
        <v>40730</v>
      </c>
      <c r="V29" s="195">
        <v>36577</v>
      </c>
      <c r="W29" s="195">
        <v>34388</v>
      </c>
      <c r="X29" s="196">
        <f t="shared" si="17"/>
        <v>-5.9846351532383713E-2</v>
      </c>
      <c r="Y29" s="196">
        <f t="shared" si="18"/>
        <v>9.7998927335225978E-3</v>
      </c>
    </row>
    <row r="30" spans="1:25" x14ac:dyDescent="0.25">
      <c r="A30" s="74"/>
      <c r="B30" s="194" t="s">
        <v>125</v>
      </c>
      <c r="C30" s="195">
        <v>1705</v>
      </c>
      <c r="D30" s="195">
        <v>2023</v>
      </c>
      <c r="E30" s="195">
        <v>6662</v>
      </c>
      <c r="F30" s="195">
        <v>3340</v>
      </c>
      <c r="G30" s="195">
        <v>2667</v>
      </c>
      <c r="H30" s="195">
        <v>3088</v>
      </c>
      <c r="I30" s="196">
        <f t="shared" si="15"/>
        <v>0.15785526809148864</v>
      </c>
      <c r="J30" s="196">
        <f t="shared" si="12"/>
        <v>4.8928345642002321E-3</v>
      </c>
      <c r="K30" s="195">
        <v>11018</v>
      </c>
      <c r="L30" s="195">
        <v>23432</v>
      </c>
      <c r="M30" s="195">
        <v>49393</v>
      </c>
      <c r="N30" s="195">
        <v>46038</v>
      </c>
      <c r="O30" s="195">
        <v>49488</v>
      </c>
      <c r="P30" s="195">
        <v>45153</v>
      </c>
      <c r="Q30" s="196">
        <f t="shared" si="16"/>
        <v>-8.7596993210475316E-2</v>
      </c>
      <c r="R30" s="196">
        <f t="shared" si="14"/>
        <v>1.5689614373859191E-2</v>
      </c>
      <c r="S30" s="195">
        <v>12723</v>
      </c>
      <c r="T30" s="195">
        <v>56055</v>
      </c>
      <c r="U30" s="195">
        <v>49378</v>
      </c>
      <c r="V30" s="195">
        <v>52155</v>
      </c>
      <c r="W30" s="195">
        <v>48241</v>
      </c>
      <c r="X30" s="196">
        <f t="shared" si="17"/>
        <v>-7.5045537340619362E-2</v>
      </c>
      <c r="Y30" s="196">
        <f t="shared" si="18"/>
        <v>1.3747720872335223E-2</v>
      </c>
    </row>
    <row r="31" spans="1:25" x14ac:dyDescent="0.25">
      <c r="A31" s="74"/>
      <c r="B31" s="194" t="s">
        <v>121</v>
      </c>
      <c r="C31" s="195">
        <v>1308</v>
      </c>
      <c r="D31" s="195">
        <v>1134</v>
      </c>
      <c r="E31" s="195">
        <v>3630</v>
      </c>
      <c r="F31" s="195">
        <v>2551</v>
      </c>
      <c r="G31" s="195">
        <v>1950</v>
      </c>
      <c r="H31" s="195">
        <v>2021</v>
      </c>
      <c r="I31" s="196">
        <f t="shared" si="15"/>
        <v>3.6410256410256414E-2</v>
      </c>
      <c r="J31" s="196">
        <f t="shared" si="12"/>
        <v>3.2022081134224964E-3</v>
      </c>
      <c r="K31" s="195">
        <v>21033</v>
      </c>
      <c r="L31" s="195">
        <v>30800</v>
      </c>
      <c r="M31" s="195">
        <v>60867</v>
      </c>
      <c r="N31" s="195">
        <v>58426</v>
      </c>
      <c r="O31" s="195">
        <v>60690</v>
      </c>
      <c r="P31" s="195">
        <v>56482</v>
      </c>
      <c r="Q31" s="196">
        <f t="shared" si="16"/>
        <v>-6.9335969681990406E-2</v>
      </c>
      <c r="R31" s="196">
        <f t="shared" si="14"/>
        <v>1.9626177641891233E-2</v>
      </c>
      <c r="S31" s="195">
        <v>22341</v>
      </c>
      <c r="T31" s="195">
        <v>64497</v>
      </c>
      <c r="U31" s="195">
        <v>60977</v>
      </c>
      <c r="V31" s="195">
        <v>62640</v>
      </c>
      <c r="W31" s="195">
        <v>58503</v>
      </c>
      <c r="X31" s="196">
        <f t="shared" si="17"/>
        <v>-6.6044061302682033E-2</v>
      </c>
      <c r="Y31" s="196">
        <f t="shared" si="18"/>
        <v>1.6672185779611277E-2</v>
      </c>
    </row>
    <row r="32" spans="1:25" x14ac:dyDescent="0.25">
      <c r="A32" s="74"/>
      <c r="B32" s="194" t="s">
        <v>130</v>
      </c>
      <c r="C32" s="195">
        <v>1374</v>
      </c>
      <c r="D32" s="195">
        <v>245</v>
      </c>
      <c r="E32" s="195">
        <v>1377</v>
      </c>
      <c r="F32" s="195">
        <v>1698</v>
      </c>
      <c r="G32" s="195">
        <v>1818</v>
      </c>
      <c r="H32" s="195">
        <v>2011</v>
      </c>
      <c r="I32" s="196">
        <f t="shared" si="15"/>
        <v>0.10616061606160621</v>
      </c>
      <c r="J32" s="196">
        <f t="shared" si="12"/>
        <v>3.1863634419063043E-3</v>
      </c>
      <c r="K32" s="195">
        <v>8169</v>
      </c>
      <c r="L32" s="195">
        <v>1932</v>
      </c>
      <c r="M32" s="195">
        <v>13774</v>
      </c>
      <c r="N32" s="195">
        <v>14634</v>
      </c>
      <c r="O32" s="195">
        <v>14353</v>
      </c>
      <c r="P32" s="195">
        <v>12315</v>
      </c>
      <c r="Q32" s="196">
        <f t="shared" si="16"/>
        <v>-0.14199122134745346</v>
      </c>
      <c r="R32" s="196">
        <f t="shared" si="14"/>
        <v>4.2791752710578685E-3</v>
      </c>
      <c r="S32" s="195">
        <v>9543</v>
      </c>
      <c r="T32" s="195">
        <v>15151</v>
      </c>
      <c r="U32" s="195">
        <v>16332</v>
      </c>
      <c r="V32" s="195">
        <v>16171</v>
      </c>
      <c r="W32" s="195">
        <v>14326</v>
      </c>
      <c r="X32" s="196">
        <f t="shared" si="17"/>
        <v>-0.11409312967658158</v>
      </c>
      <c r="Y32" s="196">
        <f t="shared" si="18"/>
        <v>4.082623685600929E-3</v>
      </c>
    </row>
    <row r="33" spans="1:25" x14ac:dyDescent="0.25">
      <c r="A33" s="74"/>
      <c r="B33" s="194" t="s">
        <v>133</v>
      </c>
      <c r="C33" s="195">
        <v>667</v>
      </c>
      <c r="D33" s="195">
        <v>50</v>
      </c>
      <c r="E33" s="195">
        <v>480</v>
      </c>
      <c r="F33" s="195">
        <v>614</v>
      </c>
      <c r="G33" s="195">
        <v>374</v>
      </c>
      <c r="H33" s="195">
        <v>390</v>
      </c>
      <c r="I33" s="196">
        <f t="shared" si="15"/>
        <v>4.2780748663101553E-2</v>
      </c>
      <c r="J33" s="196">
        <f t="shared" si="12"/>
        <v>6.1794218913150604E-4</v>
      </c>
      <c r="K33" s="195">
        <v>10601</v>
      </c>
      <c r="L33" s="195">
        <v>1306</v>
      </c>
      <c r="M33" s="195">
        <v>9435</v>
      </c>
      <c r="N33" s="195">
        <v>14385</v>
      </c>
      <c r="O33" s="195">
        <v>13493</v>
      </c>
      <c r="P33" s="195">
        <v>11191</v>
      </c>
      <c r="Q33" s="196">
        <f t="shared" si="16"/>
        <v>-0.17060698139776176</v>
      </c>
      <c r="R33" s="196">
        <f t="shared" si="14"/>
        <v>3.8886114866754857E-3</v>
      </c>
      <c r="S33" s="195">
        <v>11268</v>
      </c>
      <c r="T33" s="195">
        <v>9915</v>
      </c>
      <c r="U33" s="195">
        <v>14999</v>
      </c>
      <c r="V33" s="195">
        <v>13867</v>
      </c>
      <c r="W33" s="195">
        <v>11581</v>
      </c>
      <c r="X33" s="196">
        <f t="shared" si="17"/>
        <v>-0.1648518064469604</v>
      </c>
      <c r="Y33" s="196">
        <f t="shared" si="18"/>
        <v>3.3003535462058048E-3</v>
      </c>
    </row>
    <row r="34" spans="1:25" x14ac:dyDescent="0.25">
      <c r="A34" s="74"/>
      <c r="B34" s="199" t="s">
        <v>147</v>
      </c>
      <c r="C34" s="200">
        <f t="shared" ref="C34" si="19">C26-SUM(C27:C33)</f>
        <v>8639</v>
      </c>
      <c r="D34" s="200">
        <f t="shared" ref="D34:H34" si="20">D26-SUM(D27:D33)</f>
        <v>8007</v>
      </c>
      <c r="E34" s="200">
        <f t="shared" si="20"/>
        <v>31824</v>
      </c>
      <c r="F34" s="200">
        <f t="shared" si="20"/>
        <v>34258</v>
      </c>
      <c r="G34" s="200">
        <f t="shared" si="20"/>
        <v>33614</v>
      </c>
      <c r="H34" s="200">
        <f t="shared" si="20"/>
        <v>35894</v>
      </c>
      <c r="I34" s="201">
        <f t="shared" si="15"/>
        <v>6.7828880823466386E-2</v>
      </c>
      <c r="J34" s="201">
        <f t="shared" si="12"/>
        <v>5.6872863940221223E-2</v>
      </c>
      <c r="K34" s="200">
        <f t="shared" ref="K34:P34" si="21">K26-SUM(K27:K33)</f>
        <v>58387</v>
      </c>
      <c r="L34" s="200">
        <f t="shared" si="21"/>
        <v>94964</v>
      </c>
      <c r="M34" s="200">
        <f t="shared" si="21"/>
        <v>188040</v>
      </c>
      <c r="N34" s="200">
        <f t="shared" si="21"/>
        <v>211160</v>
      </c>
      <c r="O34" s="200">
        <f t="shared" si="21"/>
        <v>236141</v>
      </c>
      <c r="P34" s="200">
        <f t="shared" si="21"/>
        <v>216799</v>
      </c>
      <c r="Q34" s="201">
        <f t="shared" si="16"/>
        <v>-8.1908690146988428E-2</v>
      </c>
      <c r="R34" s="201">
        <f t="shared" si="14"/>
        <v>7.5332595987825809E-2</v>
      </c>
      <c r="S34" s="200">
        <f>S26-SUM(S27:S33)</f>
        <v>67026</v>
      </c>
      <c r="T34" s="200">
        <f>T26-SUM(T27:T33)</f>
        <v>219864</v>
      </c>
      <c r="U34" s="200">
        <f>U26-SUM(U27:U33)</f>
        <v>245418</v>
      </c>
      <c r="V34" s="200">
        <f>V26-SUM(V27:V33)</f>
        <v>269755</v>
      </c>
      <c r="W34" s="200">
        <f>W26-SUM(W27:W33)</f>
        <v>252693</v>
      </c>
      <c r="X34" s="201">
        <f t="shared" si="17"/>
        <v>-6.3249986098496747E-2</v>
      </c>
      <c r="Y34" s="201">
        <f t="shared" si="18"/>
        <v>7.2012454766547218E-2</v>
      </c>
    </row>
    <row r="35" spans="1:25" x14ac:dyDescent="0.25">
      <c r="A35" s="74"/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</row>
    <row r="36" spans="1:25" x14ac:dyDescent="0.25">
      <c r="A36" s="74"/>
      <c r="B36" s="187" t="s">
        <v>70</v>
      </c>
      <c r="C36" s="209">
        <f t="shared" ref="C36:H36" si="22">C37+C40</f>
        <v>47555</v>
      </c>
      <c r="D36" s="209">
        <f t="shared" si="22"/>
        <v>28822</v>
      </c>
      <c r="E36" s="209">
        <f t="shared" si="22"/>
        <v>147825</v>
      </c>
      <c r="F36" s="209">
        <f t="shared" si="22"/>
        <v>163340</v>
      </c>
      <c r="G36" s="209">
        <f t="shared" si="22"/>
        <v>175743</v>
      </c>
      <c r="H36" s="209">
        <f t="shared" si="22"/>
        <v>157076</v>
      </c>
      <c r="I36" s="210">
        <f>IFERROR(H36/G36-1,"-")</f>
        <v>-0.10621760183904905</v>
      </c>
      <c r="J36" s="210">
        <f t="shared" ref="J36:J48" si="23">H36/H$8</f>
        <v>0.24888176230774472</v>
      </c>
      <c r="K36" s="209">
        <f t="shared" ref="K36:P36" si="24">K37+K40</f>
        <v>132244</v>
      </c>
      <c r="L36" s="209">
        <f t="shared" si="24"/>
        <v>129922</v>
      </c>
      <c r="M36" s="209">
        <f t="shared" si="24"/>
        <v>470401</v>
      </c>
      <c r="N36" s="209">
        <f t="shared" si="24"/>
        <v>508477</v>
      </c>
      <c r="O36" s="209">
        <f t="shared" si="24"/>
        <v>543447</v>
      </c>
      <c r="P36" s="209">
        <f t="shared" si="24"/>
        <v>578579</v>
      </c>
      <c r="Q36" s="210">
        <f>IFERROR(P36/O36-1,"-")</f>
        <v>6.4646598472344108E-2</v>
      </c>
      <c r="R36" s="210">
        <f t="shared" ref="R36:R48" si="25">P36/P$8</f>
        <v>0.20104270801083154</v>
      </c>
      <c r="S36" s="209">
        <f>S37+S40</f>
        <v>179799</v>
      </c>
      <c r="T36" s="209">
        <f>T37+T40</f>
        <v>618226</v>
      </c>
      <c r="U36" s="209">
        <f>U37+U40</f>
        <v>671817</v>
      </c>
      <c r="V36" s="209">
        <f>V37+V40</f>
        <v>719190</v>
      </c>
      <c r="W36" s="209">
        <f>W37+W40</f>
        <v>735655</v>
      </c>
      <c r="X36" s="210">
        <f>IFERROR(W36/V36-1,"-")</f>
        <v>2.2893811093035232E-2</v>
      </c>
      <c r="Y36" s="210">
        <f>W36/W$8</f>
        <v>0.20964697245782155</v>
      </c>
    </row>
    <row r="37" spans="1:25" x14ac:dyDescent="0.25">
      <c r="A37" s="74"/>
      <c r="B37" s="190" t="s">
        <v>99</v>
      </c>
      <c r="C37" s="191">
        <v>4675</v>
      </c>
      <c r="D37" s="191">
        <v>4121</v>
      </c>
      <c r="E37" s="191">
        <v>19690</v>
      </c>
      <c r="F37" s="191">
        <v>24974</v>
      </c>
      <c r="G37" s="191">
        <v>28224</v>
      </c>
      <c r="H37" s="191">
        <v>19271</v>
      </c>
      <c r="I37" s="192">
        <f>IFERROR(H37/G37-1,"-")</f>
        <v>-0.31721230158730163</v>
      </c>
      <c r="J37" s="192">
        <f t="shared" si="23"/>
        <v>3.0534266478854495E-2</v>
      </c>
      <c r="K37" s="191">
        <v>15570</v>
      </c>
      <c r="L37" s="191">
        <v>25947</v>
      </c>
      <c r="M37" s="191">
        <v>52918</v>
      </c>
      <c r="N37" s="191">
        <v>45502</v>
      </c>
      <c r="O37" s="191">
        <v>42839</v>
      </c>
      <c r="P37" s="191">
        <v>50556</v>
      </c>
      <c r="Q37" s="192">
        <f>IFERROR(P37/O37-1,"-")</f>
        <v>0.18013959242746092</v>
      </c>
      <c r="R37" s="192">
        <f t="shared" si="25"/>
        <v>1.7567030856971304E-2</v>
      </c>
      <c r="S37" s="191">
        <v>20245</v>
      </c>
      <c r="T37" s="191">
        <v>72608</v>
      </c>
      <c r="U37" s="191">
        <v>70476</v>
      </c>
      <c r="V37" s="191">
        <v>71063</v>
      </c>
      <c r="W37" s="191">
        <v>69827</v>
      </c>
      <c r="X37" s="192">
        <f>IFERROR(W37/V37-1,"-")</f>
        <v>-1.7393017463377514E-2</v>
      </c>
      <c r="Y37" s="192">
        <f>W37/W$8</f>
        <v>1.9899299462128719E-2</v>
      </c>
    </row>
    <row r="38" spans="1:25" x14ac:dyDescent="0.25">
      <c r="A38" s="74"/>
      <c r="B38" s="194" t="s">
        <v>105</v>
      </c>
      <c r="C38" s="195">
        <v>1880</v>
      </c>
      <c r="D38" s="195">
        <v>2975</v>
      </c>
      <c r="E38" s="195">
        <v>8674</v>
      </c>
      <c r="F38" s="195">
        <v>13940</v>
      </c>
      <c r="G38" s="195">
        <v>19449</v>
      </c>
      <c r="H38" s="195">
        <v>9949</v>
      </c>
      <c r="I38" s="196">
        <f>IFERROR(H38/G38-1,"-")</f>
        <v>-0.48845699007661059</v>
      </c>
      <c r="J38" s="196">
        <f t="shared" si="23"/>
        <v>1.5763863691459882E-2</v>
      </c>
      <c r="K38" s="195">
        <v>1578</v>
      </c>
      <c r="L38" s="195">
        <v>3884</v>
      </c>
      <c r="M38" s="195">
        <v>8136</v>
      </c>
      <c r="N38" s="195">
        <v>11630</v>
      </c>
      <c r="O38" s="195">
        <v>9069</v>
      </c>
      <c r="P38" s="195">
        <v>16046</v>
      </c>
      <c r="Q38" s="196">
        <f>IFERROR(P38/O38-1,"-")</f>
        <v>0.76932407101113687</v>
      </c>
      <c r="R38" s="196">
        <f t="shared" si="25"/>
        <v>5.5756107510673619E-3</v>
      </c>
      <c r="S38" s="195">
        <v>3458</v>
      </c>
      <c r="T38" s="195">
        <v>16810</v>
      </c>
      <c r="U38" s="195">
        <v>25570</v>
      </c>
      <c r="V38" s="195">
        <v>28518</v>
      </c>
      <c r="W38" s="195">
        <v>26647</v>
      </c>
      <c r="X38" s="196">
        <f>IFERROR(W38/V38-1,"-")</f>
        <v>-6.5607686373518437E-2</v>
      </c>
      <c r="Y38" s="196">
        <f>W38/W$8</f>
        <v>7.5938624424269126E-3</v>
      </c>
    </row>
    <row r="39" spans="1:25" x14ac:dyDescent="0.25">
      <c r="A39" s="74"/>
      <c r="B39" s="194" t="s">
        <v>102</v>
      </c>
      <c r="C39" s="195">
        <v>2795</v>
      </c>
      <c r="D39" s="195">
        <v>1146</v>
      </c>
      <c r="E39" s="195">
        <v>11016</v>
      </c>
      <c r="F39" s="195">
        <v>11034</v>
      </c>
      <c r="G39" s="195">
        <v>8775</v>
      </c>
      <c r="H39" s="195">
        <v>7683</v>
      </c>
      <c r="I39" s="196">
        <f>IFERROR(H39/G39-1,"-")</f>
        <v>-0.12444444444444447</v>
      </c>
      <c r="J39" s="196">
        <f t="shared" si="23"/>
        <v>1.2173461125890669E-2</v>
      </c>
      <c r="K39" s="195">
        <v>13992</v>
      </c>
      <c r="L39" s="195">
        <v>22063</v>
      </c>
      <c r="M39" s="195">
        <v>44782</v>
      </c>
      <c r="N39" s="195">
        <v>33872</v>
      </c>
      <c r="O39" s="195">
        <v>33770</v>
      </c>
      <c r="P39" s="195">
        <v>34510</v>
      </c>
      <c r="Q39" s="196">
        <f>IFERROR(P39/O39-1,"-")</f>
        <v>2.1912940479715814E-2</v>
      </c>
      <c r="R39" s="196">
        <f t="shared" si="25"/>
        <v>1.1991420105903941E-2</v>
      </c>
      <c r="S39" s="195">
        <v>16787</v>
      </c>
      <c r="T39" s="195">
        <v>55798</v>
      </c>
      <c r="U39" s="195">
        <v>44906</v>
      </c>
      <c r="V39" s="195">
        <v>42545</v>
      </c>
      <c r="W39" s="195">
        <v>43180</v>
      </c>
      <c r="X39" s="196">
        <f>IFERROR(W39/V39-1,"-")</f>
        <v>1.4925373134328401E-2</v>
      </c>
      <c r="Y39" s="196">
        <f>W39/W$8</f>
        <v>1.2305437019701809E-2</v>
      </c>
    </row>
    <row r="40" spans="1:25" x14ac:dyDescent="0.25">
      <c r="A40" s="74"/>
      <c r="B40" s="190" t="s">
        <v>109</v>
      </c>
      <c r="C40" s="191">
        <v>42880</v>
      </c>
      <c r="D40" s="191">
        <v>24701</v>
      </c>
      <c r="E40" s="191">
        <v>128135</v>
      </c>
      <c r="F40" s="191">
        <v>138366</v>
      </c>
      <c r="G40" s="191">
        <v>147519</v>
      </c>
      <c r="H40" s="191">
        <v>137805</v>
      </c>
      <c r="I40" s="192">
        <f>IFERROR(H40/G40-1,"-")</f>
        <v>-6.5849144855916864E-2</v>
      </c>
      <c r="J40" s="192">
        <f t="shared" si="23"/>
        <v>0.21834749582889024</v>
      </c>
      <c r="K40" s="191">
        <v>116674</v>
      </c>
      <c r="L40" s="191">
        <v>103975</v>
      </c>
      <c r="M40" s="191">
        <v>417483</v>
      </c>
      <c r="N40" s="191">
        <v>462975</v>
      </c>
      <c r="O40" s="191">
        <v>500608</v>
      </c>
      <c r="P40" s="191">
        <v>528023</v>
      </c>
      <c r="Q40" s="192">
        <f>IFERROR(P40/O40-1,"-")</f>
        <v>5.4763407696241329E-2</v>
      </c>
      <c r="R40" s="192">
        <f t="shared" si="25"/>
        <v>0.18347567715386023</v>
      </c>
      <c r="S40" s="191">
        <v>159554</v>
      </c>
      <c r="T40" s="191">
        <v>545618</v>
      </c>
      <c r="U40" s="191">
        <v>601341</v>
      </c>
      <c r="V40" s="191">
        <v>648127</v>
      </c>
      <c r="W40" s="191">
        <v>665828</v>
      </c>
      <c r="X40" s="192">
        <f>IFERROR(W40/V40-1,"-")</f>
        <v>2.7311005404804911E-2</v>
      </c>
      <c r="Y40" s="192">
        <f>W40/W$8</f>
        <v>0.18974767299569281</v>
      </c>
    </row>
    <row r="41" spans="1:25" s="74" customFormat="1" x14ac:dyDescent="0.25">
      <c r="B41" s="194" t="s">
        <v>112</v>
      </c>
      <c r="C41" s="195">
        <v>21093</v>
      </c>
      <c r="D41" s="195">
        <v>10164</v>
      </c>
      <c r="E41" s="195">
        <v>62633</v>
      </c>
      <c r="F41" s="195">
        <v>60859</v>
      </c>
      <c r="G41" s="195">
        <v>63144</v>
      </c>
      <c r="H41" s="195">
        <v>54540</v>
      </c>
      <c r="I41" s="196">
        <f t="shared" ref="I41:I48" si="26">IFERROR(H41/G41-1,"-")</f>
        <v>-0.13625997719498295</v>
      </c>
      <c r="J41" s="196">
        <f t="shared" si="23"/>
        <v>8.6416838449313693E-2</v>
      </c>
      <c r="K41" s="195">
        <v>54573</v>
      </c>
      <c r="L41" s="195">
        <v>36464</v>
      </c>
      <c r="M41" s="195">
        <v>223068</v>
      </c>
      <c r="N41" s="195">
        <v>253656</v>
      </c>
      <c r="O41" s="195">
        <v>285385</v>
      </c>
      <c r="P41" s="195">
        <v>295027</v>
      </c>
      <c r="Q41" s="196">
        <f t="shared" ref="Q41:Q48" si="27">IFERROR(P41/O41-1,"-")</f>
        <v>3.3785938293883655E-2</v>
      </c>
      <c r="R41" s="196">
        <f t="shared" si="25"/>
        <v>0.10251500143681606</v>
      </c>
      <c r="S41" s="195">
        <v>75666</v>
      </c>
      <c r="T41" s="195">
        <v>285701</v>
      </c>
      <c r="U41" s="195">
        <v>314515</v>
      </c>
      <c r="V41" s="195">
        <v>348529</v>
      </c>
      <c r="W41" s="195">
        <v>349567</v>
      </c>
      <c r="X41" s="196">
        <f t="shared" ref="X41:X48" si="28">IFERROR(W41/V41-1,"-")</f>
        <v>2.9782313666868454E-3</v>
      </c>
      <c r="Y41" s="196">
        <f t="shared" ref="Y41:Y48" si="29">W41/W$8</f>
        <v>9.9619608676843496E-2</v>
      </c>
    </row>
    <row r="42" spans="1:25" s="74" customFormat="1" x14ac:dyDescent="0.25">
      <c r="B42" s="194" t="s">
        <v>115</v>
      </c>
      <c r="C42" s="195">
        <v>3008</v>
      </c>
      <c r="D42" s="195">
        <v>1276</v>
      </c>
      <c r="E42" s="195">
        <v>6063</v>
      </c>
      <c r="F42" s="195">
        <v>8562</v>
      </c>
      <c r="G42" s="195">
        <v>9133</v>
      </c>
      <c r="H42" s="195">
        <v>10143</v>
      </c>
      <c r="I42" s="196">
        <f t="shared" si="26"/>
        <v>0.11058797766341844</v>
      </c>
      <c r="J42" s="196">
        <f t="shared" si="23"/>
        <v>1.6071250318874013E-2</v>
      </c>
      <c r="K42" s="195">
        <v>6485</v>
      </c>
      <c r="L42" s="195">
        <v>6405</v>
      </c>
      <c r="M42" s="195">
        <v>14794</v>
      </c>
      <c r="N42" s="195">
        <v>17771</v>
      </c>
      <c r="O42" s="195">
        <v>15614</v>
      </c>
      <c r="P42" s="195">
        <v>16444</v>
      </c>
      <c r="Q42" s="196">
        <f t="shared" si="27"/>
        <v>5.3157422825669265E-2</v>
      </c>
      <c r="R42" s="196">
        <f t="shared" si="25"/>
        <v>5.7139064683130805E-3</v>
      </c>
      <c r="S42" s="195">
        <v>9493</v>
      </c>
      <c r="T42" s="195">
        <v>20857</v>
      </c>
      <c r="U42" s="195">
        <v>26333</v>
      </c>
      <c r="V42" s="195">
        <v>24747</v>
      </c>
      <c r="W42" s="195">
        <v>26587</v>
      </c>
      <c r="X42" s="196">
        <f t="shared" si="28"/>
        <v>7.4352446761223545E-2</v>
      </c>
      <c r="Y42" s="196">
        <f t="shared" si="29"/>
        <v>7.5767636415658172E-3</v>
      </c>
    </row>
    <row r="43" spans="1:25" x14ac:dyDescent="0.25">
      <c r="A43" s="74"/>
      <c r="B43" s="194" t="s">
        <v>118</v>
      </c>
      <c r="C43" s="195">
        <v>1929</v>
      </c>
      <c r="D43" s="195">
        <v>938</v>
      </c>
      <c r="E43" s="195">
        <v>4581</v>
      </c>
      <c r="F43" s="195">
        <v>6601</v>
      </c>
      <c r="G43" s="195">
        <v>7142</v>
      </c>
      <c r="H43" s="195">
        <v>7146</v>
      </c>
      <c r="I43" s="196">
        <f t="shared" si="26"/>
        <v>5.6006720806500709E-4</v>
      </c>
      <c r="J43" s="196">
        <f t="shared" si="23"/>
        <v>1.1322602265471134E-2</v>
      </c>
      <c r="K43" s="195">
        <v>3521</v>
      </c>
      <c r="L43" s="195">
        <v>6076</v>
      </c>
      <c r="M43" s="195">
        <v>10034</v>
      </c>
      <c r="N43" s="195">
        <v>10184</v>
      </c>
      <c r="O43" s="195">
        <v>9523</v>
      </c>
      <c r="P43" s="195">
        <v>11128</v>
      </c>
      <c r="Q43" s="196">
        <f t="shared" si="27"/>
        <v>0.1685393258426966</v>
      </c>
      <c r="R43" s="196">
        <f t="shared" si="25"/>
        <v>3.8667204560561882E-3</v>
      </c>
      <c r="S43" s="195">
        <v>5450</v>
      </c>
      <c r="T43" s="195">
        <v>14615</v>
      </c>
      <c r="U43" s="195">
        <v>16785</v>
      </c>
      <c r="V43" s="195">
        <v>16665</v>
      </c>
      <c r="W43" s="195">
        <v>18274</v>
      </c>
      <c r="X43" s="196">
        <f t="shared" si="28"/>
        <v>9.6549654965496501E-2</v>
      </c>
      <c r="Y43" s="196">
        <f t="shared" si="29"/>
        <v>5.2077247822610202E-3</v>
      </c>
    </row>
    <row r="44" spans="1:25" x14ac:dyDescent="0.25">
      <c r="A44" s="74"/>
      <c r="B44" s="194" t="s">
        <v>125</v>
      </c>
      <c r="C44" s="195">
        <v>776</v>
      </c>
      <c r="D44" s="195">
        <v>796</v>
      </c>
      <c r="E44" s="195">
        <v>2624</v>
      </c>
      <c r="F44" s="195">
        <v>2692</v>
      </c>
      <c r="G44" s="195">
        <v>3254</v>
      </c>
      <c r="H44" s="195">
        <v>2578</v>
      </c>
      <c r="I44" s="196">
        <f t="shared" si="26"/>
        <v>-0.20774431468961274</v>
      </c>
      <c r="J44" s="196">
        <f t="shared" si="23"/>
        <v>4.0847563168744166E-3</v>
      </c>
      <c r="K44" s="195">
        <v>5381</v>
      </c>
      <c r="L44" s="195">
        <v>9023</v>
      </c>
      <c r="M44" s="195">
        <v>23588</v>
      </c>
      <c r="N44" s="195">
        <v>22051</v>
      </c>
      <c r="O44" s="195">
        <v>23767</v>
      </c>
      <c r="P44" s="195">
        <v>21744</v>
      </c>
      <c r="Q44" s="196">
        <f t="shared" si="27"/>
        <v>-8.5118020785122206E-2</v>
      </c>
      <c r="R44" s="196">
        <f t="shared" si="25"/>
        <v>7.5555328537460246E-3</v>
      </c>
      <c r="S44" s="195">
        <v>6157</v>
      </c>
      <c r="T44" s="195">
        <v>26212</v>
      </c>
      <c r="U44" s="195">
        <v>24743</v>
      </c>
      <c r="V44" s="195">
        <v>27021</v>
      </c>
      <c r="W44" s="195">
        <v>24322</v>
      </c>
      <c r="X44" s="196">
        <f t="shared" si="28"/>
        <v>-9.9885274416194769E-2</v>
      </c>
      <c r="Y44" s="196">
        <f t="shared" si="29"/>
        <v>6.9312839090594578E-3</v>
      </c>
    </row>
    <row r="45" spans="1:25" x14ac:dyDescent="0.25">
      <c r="A45" s="74"/>
      <c r="B45" s="194" t="s">
        <v>121</v>
      </c>
      <c r="C45" s="195">
        <v>1018</v>
      </c>
      <c r="D45" s="195">
        <v>411</v>
      </c>
      <c r="E45" s="195">
        <v>1431</v>
      </c>
      <c r="F45" s="195">
        <v>1708</v>
      </c>
      <c r="G45" s="195">
        <v>1919</v>
      </c>
      <c r="H45" s="195">
        <v>2764</v>
      </c>
      <c r="I45" s="196">
        <f t="shared" si="26"/>
        <v>0.44033350703491392</v>
      </c>
      <c r="J45" s="196">
        <f t="shared" si="23"/>
        <v>4.3794672070755969E-3</v>
      </c>
      <c r="K45" s="195">
        <v>9995</v>
      </c>
      <c r="L45" s="195">
        <v>10791</v>
      </c>
      <c r="M45" s="195">
        <v>23473</v>
      </c>
      <c r="N45" s="195">
        <v>27735</v>
      </c>
      <c r="O45" s="195">
        <v>27709</v>
      </c>
      <c r="P45" s="195">
        <v>23748</v>
      </c>
      <c r="Q45" s="196">
        <f t="shared" si="27"/>
        <v>-0.1429499440614963</v>
      </c>
      <c r="R45" s="196">
        <f t="shared" si="25"/>
        <v>8.2518761134455759E-3</v>
      </c>
      <c r="S45" s="195">
        <v>11013</v>
      </c>
      <c r="T45" s="195">
        <v>24904</v>
      </c>
      <c r="U45" s="195">
        <v>29443</v>
      </c>
      <c r="V45" s="195">
        <v>29628</v>
      </c>
      <c r="W45" s="195">
        <v>26512</v>
      </c>
      <c r="X45" s="196">
        <f t="shared" si="28"/>
        <v>-0.10517078439314165</v>
      </c>
      <c r="Y45" s="196">
        <f t="shared" si="29"/>
        <v>7.5553901404894477E-3</v>
      </c>
    </row>
    <row r="46" spans="1:25" x14ac:dyDescent="0.25">
      <c r="A46" s="74"/>
      <c r="B46" s="194" t="s">
        <v>130</v>
      </c>
      <c r="C46" s="195">
        <v>1099</v>
      </c>
      <c r="D46" s="195">
        <v>228</v>
      </c>
      <c r="E46" s="195">
        <v>1763</v>
      </c>
      <c r="F46" s="195">
        <v>1826</v>
      </c>
      <c r="G46" s="195">
        <v>1145</v>
      </c>
      <c r="H46" s="195">
        <v>1384</v>
      </c>
      <c r="I46" s="196">
        <f t="shared" si="26"/>
        <v>0.20873362445414845</v>
      </c>
      <c r="J46" s="196">
        <f t="shared" si="23"/>
        <v>2.1929025378410369E-3</v>
      </c>
      <c r="K46" s="195">
        <v>2241</v>
      </c>
      <c r="L46" s="195">
        <v>1340</v>
      </c>
      <c r="M46" s="195">
        <v>4629</v>
      </c>
      <c r="N46" s="195">
        <v>5359</v>
      </c>
      <c r="O46" s="195">
        <v>5045</v>
      </c>
      <c r="P46" s="195">
        <v>6039</v>
      </c>
      <c r="Q46" s="196">
        <f t="shared" si="27"/>
        <v>0.19702675916749257</v>
      </c>
      <c r="R46" s="196">
        <f t="shared" si="25"/>
        <v>2.0984116493640657E-3</v>
      </c>
      <c r="S46" s="195">
        <v>3340</v>
      </c>
      <c r="T46" s="195">
        <v>6392</v>
      </c>
      <c r="U46" s="195">
        <v>7185</v>
      </c>
      <c r="V46" s="195">
        <v>6190</v>
      </c>
      <c r="W46" s="195">
        <v>7423</v>
      </c>
      <c r="X46" s="196">
        <f t="shared" si="28"/>
        <v>0.19919224555735049</v>
      </c>
      <c r="Y46" s="196">
        <f t="shared" si="29"/>
        <v>2.1154066465318786E-3</v>
      </c>
    </row>
    <row r="47" spans="1:25" x14ac:dyDescent="0.25">
      <c r="A47" s="74"/>
      <c r="B47" s="194" t="s">
        <v>133</v>
      </c>
      <c r="C47" s="195">
        <v>1068</v>
      </c>
      <c r="D47" s="195">
        <v>109</v>
      </c>
      <c r="E47" s="195">
        <v>870</v>
      </c>
      <c r="F47" s="195">
        <v>1211</v>
      </c>
      <c r="G47" s="195">
        <v>1019</v>
      </c>
      <c r="H47" s="195">
        <v>845</v>
      </c>
      <c r="I47" s="196">
        <f t="shared" si="26"/>
        <v>-0.17075564278704614</v>
      </c>
      <c r="J47" s="196">
        <f t="shared" si="23"/>
        <v>1.338874743118263E-3</v>
      </c>
      <c r="K47" s="195">
        <v>3771</v>
      </c>
      <c r="L47" s="195">
        <v>978</v>
      </c>
      <c r="M47" s="195">
        <v>3886</v>
      </c>
      <c r="N47" s="195">
        <v>5807</v>
      </c>
      <c r="O47" s="195">
        <v>5060</v>
      </c>
      <c r="P47" s="195">
        <v>4546</v>
      </c>
      <c r="Q47" s="196">
        <f t="shared" si="27"/>
        <v>-0.10158102766798416</v>
      </c>
      <c r="R47" s="196">
        <f t="shared" si="25"/>
        <v>1.5796289713543702E-3</v>
      </c>
      <c r="S47" s="195">
        <v>4839</v>
      </c>
      <c r="T47" s="195">
        <v>4756</v>
      </c>
      <c r="U47" s="195">
        <v>7018</v>
      </c>
      <c r="V47" s="195">
        <v>6079</v>
      </c>
      <c r="W47" s="195">
        <v>5391</v>
      </c>
      <c r="X47" s="196">
        <f t="shared" si="28"/>
        <v>-0.11317650929429179</v>
      </c>
      <c r="Y47" s="196">
        <f t="shared" si="29"/>
        <v>1.5363272573694407E-3</v>
      </c>
    </row>
    <row r="48" spans="1:25" x14ac:dyDescent="0.25">
      <c r="A48" s="74"/>
      <c r="B48" s="199" t="s">
        <v>147</v>
      </c>
      <c r="C48" s="200">
        <f t="shared" ref="C48" si="30">C40-SUM(C41:C47)</f>
        <v>12889</v>
      </c>
      <c r="D48" s="200">
        <f t="shared" ref="D48:H48" si="31">D40-SUM(D41:D47)</f>
        <v>10779</v>
      </c>
      <c r="E48" s="200">
        <f t="shared" si="31"/>
        <v>48170</v>
      </c>
      <c r="F48" s="200">
        <f t="shared" si="31"/>
        <v>54907</v>
      </c>
      <c r="G48" s="200">
        <f t="shared" si="31"/>
        <v>60763</v>
      </c>
      <c r="H48" s="200">
        <f t="shared" si="31"/>
        <v>58405</v>
      </c>
      <c r="I48" s="201">
        <f t="shared" si="26"/>
        <v>-3.8806510540954187E-2</v>
      </c>
      <c r="J48" s="201">
        <f t="shared" si="23"/>
        <v>9.2540803990322079E-2</v>
      </c>
      <c r="K48" s="200">
        <f t="shared" ref="K48:P48" si="32">K40-SUM(K41:K47)</f>
        <v>30707</v>
      </c>
      <c r="L48" s="200">
        <f t="shared" si="32"/>
        <v>32898</v>
      </c>
      <c r="M48" s="200">
        <f t="shared" si="32"/>
        <v>114011</v>
      </c>
      <c r="N48" s="200">
        <f t="shared" si="32"/>
        <v>120412</v>
      </c>
      <c r="O48" s="200">
        <f t="shared" si="32"/>
        <v>128505</v>
      </c>
      <c r="P48" s="200">
        <f t="shared" si="32"/>
        <v>149347</v>
      </c>
      <c r="Q48" s="201">
        <f t="shared" si="27"/>
        <v>0.16218824170265744</v>
      </c>
      <c r="R48" s="201">
        <f t="shared" si="25"/>
        <v>5.1894599204764878E-2</v>
      </c>
      <c r="S48" s="200">
        <f>S40-SUM(S41:S47)</f>
        <v>43596</v>
      </c>
      <c r="T48" s="200">
        <f>T40-SUM(T41:T47)</f>
        <v>162181</v>
      </c>
      <c r="U48" s="200">
        <f>U40-SUM(U41:U47)</f>
        <v>175319</v>
      </c>
      <c r="V48" s="200">
        <f>V40-SUM(V41:V47)</f>
        <v>189268</v>
      </c>
      <c r="W48" s="200">
        <f>W40-SUM(W41:W47)</f>
        <v>207752</v>
      </c>
      <c r="X48" s="201">
        <f t="shared" si="28"/>
        <v>9.7660460299680896E-2</v>
      </c>
      <c r="Y48" s="201">
        <f t="shared" si="29"/>
        <v>5.9205167941572261E-2</v>
      </c>
    </row>
    <row r="49" spans="1:25" x14ac:dyDescent="0.25">
      <c r="A49" s="74"/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</row>
    <row r="50" spans="1:25" x14ac:dyDescent="0.25">
      <c r="A50" s="74"/>
      <c r="B50" s="187" t="s">
        <v>70</v>
      </c>
      <c r="C50" s="209">
        <f t="shared" ref="C50:H50" si="33">C51+C54</f>
        <v>1558</v>
      </c>
      <c r="D50" s="209">
        <f t="shared" si="33"/>
        <v>3463</v>
      </c>
      <c r="E50" s="209">
        <f t="shared" si="33"/>
        <v>0</v>
      </c>
      <c r="F50" s="209">
        <f t="shared" si="33"/>
        <v>0</v>
      </c>
      <c r="G50" s="209">
        <f t="shared" si="33"/>
        <v>0</v>
      </c>
      <c r="H50" s="209">
        <f t="shared" si="33"/>
        <v>0</v>
      </c>
      <c r="I50" s="210" t="str">
        <f>IFERROR(H50/G50-1,"-")</f>
        <v>-</v>
      </c>
      <c r="J50" s="210">
        <f t="shared" ref="J50:J62" si="34">H50/H$8</f>
        <v>0</v>
      </c>
      <c r="K50" s="209">
        <f t="shared" ref="K50:P50" si="35">K51+K54</f>
        <v>0</v>
      </c>
      <c r="L50" s="209">
        <f t="shared" si="35"/>
        <v>0</v>
      </c>
      <c r="M50" s="209">
        <f t="shared" si="35"/>
        <v>0</v>
      </c>
      <c r="N50" s="209">
        <f t="shared" si="35"/>
        <v>0</v>
      </c>
      <c r="O50" s="209">
        <f t="shared" si="35"/>
        <v>0</v>
      </c>
      <c r="P50" s="209">
        <f t="shared" si="35"/>
        <v>0</v>
      </c>
      <c r="Q50" s="210" t="str">
        <f>IFERROR(P50/O50-1,"-")</f>
        <v>-</v>
      </c>
      <c r="R50" s="210">
        <f t="shared" ref="R50:R62" si="36">P50/P$8</f>
        <v>0</v>
      </c>
      <c r="S50" s="209">
        <f>S51+S54</f>
        <v>9750</v>
      </c>
      <c r="T50" s="209">
        <f>T51+T54</f>
        <v>29058</v>
      </c>
      <c r="U50" s="209">
        <f>U51+U54</f>
        <v>40794</v>
      </c>
      <c r="V50" s="209">
        <f>V51+V54</f>
        <v>35457</v>
      </c>
      <c r="W50" s="209">
        <f>W51+W54</f>
        <v>35550</v>
      </c>
      <c r="X50" s="210">
        <f>IFERROR(W50/V50-1,"-")</f>
        <v>2.6228953380149633E-3</v>
      </c>
      <c r="Y50" s="210">
        <f>W50/W$8</f>
        <v>1.013103951019915E-2</v>
      </c>
    </row>
    <row r="51" spans="1:25" x14ac:dyDescent="0.25">
      <c r="A51" s="74"/>
      <c r="B51" s="190" t="s">
        <v>99</v>
      </c>
      <c r="C51" s="191">
        <v>1121</v>
      </c>
      <c r="D51" s="191">
        <v>787</v>
      </c>
      <c r="E51" s="191">
        <v>0</v>
      </c>
      <c r="F51" s="191">
        <v>0</v>
      </c>
      <c r="G51" s="191">
        <v>0</v>
      </c>
      <c r="H51" s="191">
        <v>0</v>
      </c>
      <c r="I51" s="192" t="str">
        <f>IFERROR(H51/G51-1,"-")</f>
        <v>-</v>
      </c>
      <c r="J51" s="192">
        <f t="shared" si="34"/>
        <v>0</v>
      </c>
      <c r="K51" s="191">
        <v>0</v>
      </c>
      <c r="L51" s="191">
        <v>0</v>
      </c>
      <c r="M51" s="191">
        <v>0</v>
      </c>
      <c r="N51" s="191">
        <v>0</v>
      </c>
      <c r="O51" s="191">
        <v>0</v>
      </c>
      <c r="P51" s="191">
        <v>0</v>
      </c>
      <c r="Q51" s="192" t="str">
        <f>IFERROR(P51/O51-1,"-")</f>
        <v>-</v>
      </c>
      <c r="R51" s="192">
        <f t="shared" si="36"/>
        <v>0</v>
      </c>
      <c r="S51" s="191">
        <v>1894</v>
      </c>
      <c r="T51" s="191">
        <v>4856</v>
      </c>
      <c r="U51" s="191">
        <v>17330</v>
      </c>
      <c r="V51" s="191">
        <v>9653</v>
      </c>
      <c r="W51" s="191">
        <v>8049</v>
      </c>
      <c r="X51" s="192">
        <f>IFERROR(W51/V51-1,"-")</f>
        <v>-0.16616595876929452</v>
      </c>
      <c r="Y51" s="192">
        <f>W51/W$8</f>
        <v>2.2938041355159765E-3</v>
      </c>
    </row>
    <row r="52" spans="1:25" x14ac:dyDescent="0.25">
      <c r="A52" s="74"/>
      <c r="B52" s="194" t="s">
        <v>105</v>
      </c>
      <c r="C52" s="195">
        <v>1054</v>
      </c>
      <c r="D52" s="195">
        <v>309</v>
      </c>
      <c r="E52" s="195">
        <v>0</v>
      </c>
      <c r="F52" s="195">
        <v>0</v>
      </c>
      <c r="G52" s="195">
        <v>0</v>
      </c>
      <c r="H52" s="195">
        <v>0</v>
      </c>
      <c r="I52" s="196" t="str">
        <f>IFERROR(H52/G52-1,"-")</f>
        <v>-</v>
      </c>
      <c r="J52" s="196">
        <f t="shared" si="34"/>
        <v>0</v>
      </c>
      <c r="K52" s="195">
        <v>0</v>
      </c>
      <c r="L52" s="195">
        <v>0</v>
      </c>
      <c r="M52" s="195">
        <v>0</v>
      </c>
      <c r="N52" s="195">
        <v>0</v>
      </c>
      <c r="O52" s="195">
        <v>0</v>
      </c>
      <c r="P52" s="195">
        <v>0</v>
      </c>
      <c r="Q52" s="196" t="str">
        <f>IFERROR(P52/O52-1,"-")</f>
        <v>-</v>
      </c>
      <c r="R52" s="196">
        <f t="shared" si="36"/>
        <v>0</v>
      </c>
      <c r="S52" s="195">
        <v>1421</v>
      </c>
      <c r="T52" s="195">
        <v>2591</v>
      </c>
      <c r="U52" s="195">
        <v>12810</v>
      </c>
      <c r="V52" s="195">
        <v>6601</v>
      </c>
      <c r="W52" s="195">
        <v>4692</v>
      </c>
      <c r="X52" s="196">
        <f>IFERROR(W52/V52-1,"-")</f>
        <v>-0.28919860627177696</v>
      </c>
      <c r="Y52" s="196">
        <f>W52/W$8</f>
        <v>1.3371262273376768E-3</v>
      </c>
    </row>
    <row r="53" spans="1:25" x14ac:dyDescent="0.25">
      <c r="A53" s="74"/>
      <c r="B53" s="194" t="s">
        <v>102</v>
      </c>
      <c r="C53" s="195">
        <v>67</v>
      </c>
      <c r="D53" s="195">
        <v>478</v>
      </c>
      <c r="E53" s="195">
        <v>0</v>
      </c>
      <c r="F53" s="195">
        <v>0</v>
      </c>
      <c r="G53" s="195">
        <v>0</v>
      </c>
      <c r="H53" s="195">
        <v>0</v>
      </c>
      <c r="I53" s="196" t="str">
        <f>IFERROR(H53/G53-1,"-")</f>
        <v>-</v>
      </c>
      <c r="J53" s="196">
        <f t="shared" si="34"/>
        <v>0</v>
      </c>
      <c r="K53" s="195">
        <v>0</v>
      </c>
      <c r="L53" s="195">
        <v>0</v>
      </c>
      <c r="M53" s="195">
        <v>0</v>
      </c>
      <c r="N53" s="195">
        <v>0</v>
      </c>
      <c r="O53" s="195">
        <v>0</v>
      </c>
      <c r="P53" s="195">
        <v>0</v>
      </c>
      <c r="Q53" s="196" t="str">
        <f>IFERROR(P53/O53-1,"-")</f>
        <v>-</v>
      </c>
      <c r="R53" s="196">
        <f t="shared" si="36"/>
        <v>0</v>
      </c>
      <c r="S53" s="195">
        <v>473</v>
      </c>
      <c r="T53" s="195">
        <v>2265</v>
      </c>
      <c r="U53" s="195">
        <v>4520</v>
      </c>
      <c r="V53" s="195">
        <v>3052</v>
      </c>
      <c r="W53" s="195">
        <v>3357</v>
      </c>
      <c r="X53" s="196">
        <f>IFERROR(W53/V53-1,"-")</f>
        <v>9.9934469200524179E-2</v>
      </c>
      <c r="Y53" s="196">
        <f>W53/W$8</f>
        <v>9.5667790817829945E-4</v>
      </c>
    </row>
    <row r="54" spans="1:25" x14ac:dyDescent="0.25">
      <c r="A54" s="74"/>
      <c r="B54" s="190" t="s">
        <v>109</v>
      </c>
      <c r="C54" s="191">
        <v>437</v>
      </c>
      <c r="D54" s="191">
        <v>2676</v>
      </c>
      <c r="E54" s="191">
        <v>0</v>
      </c>
      <c r="F54" s="191">
        <v>0</v>
      </c>
      <c r="G54" s="191">
        <v>0</v>
      </c>
      <c r="H54" s="191">
        <v>0</v>
      </c>
      <c r="I54" s="192" t="str">
        <f>IFERROR(H54/G54-1,"-")</f>
        <v>-</v>
      </c>
      <c r="J54" s="192">
        <f t="shared" si="34"/>
        <v>0</v>
      </c>
      <c r="K54" s="191">
        <v>0</v>
      </c>
      <c r="L54" s="191">
        <v>0</v>
      </c>
      <c r="M54" s="191">
        <v>0</v>
      </c>
      <c r="N54" s="191">
        <v>0</v>
      </c>
      <c r="O54" s="191">
        <v>0</v>
      </c>
      <c r="P54" s="191">
        <v>0</v>
      </c>
      <c r="Q54" s="192" t="str">
        <f>IFERROR(P54/O54-1,"-")</f>
        <v>-</v>
      </c>
      <c r="R54" s="192">
        <f t="shared" si="36"/>
        <v>0</v>
      </c>
      <c r="S54" s="191">
        <v>7856</v>
      </c>
      <c r="T54" s="191">
        <v>24202</v>
      </c>
      <c r="U54" s="191">
        <v>23464</v>
      </c>
      <c r="V54" s="191">
        <v>25804</v>
      </c>
      <c r="W54" s="191">
        <v>27501</v>
      </c>
      <c r="X54" s="192">
        <f>IFERROR(W54/V54-1,"-")</f>
        <v>6.5764997674779169E-2</v>
      </c>
      <c r="Y54" s="192">
        <f>W54/W$8</f>
        <v>7.8372353746831731E-3</v>
      </c>
    </row>
    <row r="55" spans="1:25" s="74" customFormat="1" x14ac:dyDescent="0.25">
      <c r="B55" s="194" t="s">
        <v>112</v>
      </c>
      <c r="C55" s="195">
        <v>54</v>
      </c>
      <c r="D55" s="195">
        <v>55</v>
      </c>
      <c r="E55" s="195">
        <v>0</v>
      </c>
      <c r="F55" s="195">
        <v>0</v>
      </c>
      <c r="G55" s="195">
        <v>0</v>
      </c>
      <c r="H55" s="195">
        <v>0</v>
      </c>
      <c r="I55" s="196" t="str">
        <f t="shared" ref="I55:I62" si="37">IFERROR(H55/G55-1,"-")</f>
        <v>-</v>
      </c>
      <c r="J55" s="196">
        <f t="shared" si="34"/>
        <v>0</v>
      </c>
      <c r="K55" s="195">
        <v>0</v>
      </c>
      <c r="L55" s="195">
        <v>0</v>
      </c>
      <c r="M55" s="195">
        <v>0</v>
      </c>
      <c r="N55" s="195">
        <v>0</v>
      </c>
      <c r="O55" s="195">
        <v>0</v>
      </c>
      <c r="P55" s="195">
        <v>0</v>
      </c>
      <c r="Q55" s="196" t="str">
        <f t="shared" ref="Q55:Q62" si="38">IFERROR(P55/O55-1,"-")</f>
        <v>-</v>
      </c>
      <c r="R55" s="196">
        <f t="shared" si="36"/>
        <v>0</v>
      </c>
      <c r="S55" s="195">
        <v>2355</v>
      </c>
      <c r="T55" s="195">
        <v>8555</v>
      </c>
      <c r="U55" s="195">
        <v>7448</v>
      </c>
      <c r="V55" s="195">
        <v>9085</v>
      </c>
      <c r="W55" s="195">
        <v>9913</v>
      </c>
      <c r="X55" s="196">
        <f t="shared" ref="X55:X62" si="39">IFERROR(W55/V55-1,"-")</f>
        <v>9.1139240506329156E-2</v>
      </c>
      <c r="Y55" s="196">
        <f t="shared" ref="Y55:Y62" si="40">W55/W$8</f>
        <v>2.8250068822673466E-3</v>
      </c>
    </row>
    <row r="56" spans="1:25" s="74" customFormat="1" x14ac:dyDescent="0.25">
      <c r="B56" s="194" t="s">
        <v>115</v>
      </c>
      <c r="C56" s="195">
        <v>120</v>
      </c>
      <c r="D56" s="195">
        <v>1007</v>
      </c>
      <c r="E56" s="195">
        <v>0</v>
      </c>
      <c r="F56" s="195">
        <v>0</v>
      </c>
      <c r="G56" s="195">
        <v>0</v>
      </c>
      <c r="H56" s="195">
        <v>0</v>
      </c>
      <c r="I56" s="196" t="str">
        <f t="shared" si="37"/>
        <v>-</v>
      </c>
      <c r="J56" s="196">
        <f t="shared" si="34"/>
        <v>0</v>
      </c>
      <c r="K56" s="195">
        <v>0</v>
      </c>
      <c r="L56" s="195">
        <v>0</v>
      </c>
      <c r="M56" s="195">
        <v>0</v>
      </c>
      <c r="N56" s="195">
        <v>0</v>
      </c>
      <c r="O56" s="195">
        <v>0</v>
      </c>
      <c r="P56" s="195">
        <v>0</v>
      </c>
      <c r="Q56" s="196" t="str">
        <f t="shared" si="38"/>
        <v>-</v>
      </c>
      <c r="R56" s="196">
        <f t="shared" si="36"/>
        <v>0</v>
      </c>
      <c r="S56" s="195">
        <v>2284</v>
      </c>
      <c r="T56" s="195">
        <v>5239</v>
      </c>
      <c r="U56" s="195">
        <v>4103</v>
      </c>
      <c r="V56" s="195">
        <v>4942</v>
      </c>
      <c r="W56" s="195">
        <v>5240</v>
      </c>
      <c r="X56" s="196">
        <f t="shared" si="39"/>
        <v>6.0299473897207578E-2</v>
      </c>
      <c r="Y56" s="196">
        <f t="shared" si="40"/>
        <v>1.49329527520235E-3</v>
      </c>
    </row>
    <row r="57" spans="1:25" x14ac:dyDescent="0.25">
      <c r="A57" s="74"/>
      <c r="B57" s="194" t="s">
        <v>118</v>
      </c>
      <c r="C57" s="195">
        <v>55</v>
      </c>
      <c r="D57" s="195">
        <v>446</v>
      </c>
      <c r="E57" s="195">
        <v>0</v>
      </c>
      <c r="F57" s="195">
        <v>0</v>
      </c>
      <c r="G57" s="195">
        <v>0</v>
      </c>
      <c r="H57" s="195">
        <v>0</v>
      </c>
      <c r="I57" s="196" t="str">
        <f t="shared" si="37"/>
        <v>-</v>
      </c>
      <c r="J57" s="196">
        <f t="shared" si="34"/>
        <v>0</v>
      </c>
      <c r="K57" s="195">
        <v>0</v>
      </c>
      <c r="L57" s="195">
        <v>0</v>
      </c>
      <c r="M57" s="195">
        <v>0</v>
      </c>
      <c r="N57" s="195">
        <v>0</v>
      </c>
      <c r="O57" s="195">
        <v>0</v>
      </c>
      <c r="P57" s="195">
        <v>0</v>
      </c>
      <c r="Q57" s="196" t="str">
        <f t="shared" si="38"/>
        <v>-</v>
      </c>
      <c r="R57" s="196">
        <f t="shared" si="36"/>
        <v>0</v>
      </c>
      <c r="S57" s="195">
        <v>448</v>
      </c>
      <c r="T57" s="195">
        <v>2127</v>
      </c>
      <c r="U57" s="195">
        <v>2370</v>
      </c>
      <c r="V57" s="195">
        <v>1950</v>
      </c>
      <c r="W57" s="195">
        <v>2184</v>
      </c>
      <c r="X57" s="196">
        <f t="shared" si="39"/>
        <v>0.12000000000000011</v>
      </c>
      <c r="Y57" s="196">
        <f t="shared" si="40"/>
        <v>6.223963513438802E-4</v>
      </c>
    </row>
    <row r="58" spans="1:25" x14ac:dyDescent="0.25">
      <c r="A58" s="74"/>
      <c r="B58" s="194" t="s">
        <v>125</v>
      </c>
      <c r="C58" s="195">
        <v>29</v>
      </c>
      <c r="D58" s="195">
        <v>55</v>
      </c>
      <c r="E58" s="195">
        <v>0</v>
      </c>
      <c r="F58" s="195">
        <v>0</v>
      </c>
      <c r="G58" s="195">
        <v>0</v>
      </c>
      <c r="H58" s="195">
        <v>0</v>
      </c>
      <c r="I58" s="196" t="str">
        <f t="shared" si="37"/>
        <v>-</v>
      </c>
      <c r="J58" s="196">
        <f t="shared" si="34"/>
        <v>0</v>
      </c>
      <c r="K58" s="195">
        <v>0</v>
      </c>
      <c r="L58" s="195">
        <v>0</v>
      </c>
      <c r="M58" s="195">
        <v>0</v>
      </c>
      <c r="N58" s="195">
        <v>0</v>
      </c>
      <c r="O58" s="195">
        <v>0</v>
      </c>
      <c r="P58" s="195">
        <v>0</v>
      </c>
      <c r="Q58" s="196" t="str">
        <f t="shared" si="38"/>
        <v>-</v>
      </c>
      <c r="R58" s="196">
        <f t="shared" si="36"/>
        <v>0</v>
      </c>
      <c r="S58" s="195">
        <v>234</v>
      </c>
      <c r="T58" s="195">
        <v>711</v>
      </c>
      <c r="U58" s="195">
        <v>574</v>
      </c>
      <c r="V58" s="195">
        <v>855</v>
      </c>
      <c r="W58" s="195">
        <v>846</v>
      </c>
      <c r="X58" s="196">
        <f t="shared" si="39"/>
        <v>-1.0526315789473717E-2</v>
      </c>
      <c r="Y58" s="196">
        <f t="shared" si="40"/>
        <v>2.4109309214144812E-4</v>
      </c>
    </row>
    <row r="59" spans="1:25" x14ac:dyDescent="0.25">
      <c r="A59" s="74"/>
      <c r="B59" s="194" t="s">
        <v>121</v>
      </c>
      <c r="C59" s="195">
        <v>30</v>
      </c>
      <c r="D59" s="195">
        <v>80</v>
      </c>
      <c r="E59" s="195">
        <v>0</v>
      </c>
      <c r="F59" s="195">
        <v>0</v>
      </c>
      <c r="G59" s="195">
        <v>0</v>
      </c>
      <c r="H59" s="195">
        <v>0</v>
      </c>
      <c r="I59" s="196" t="str">
        <f t="shared" si="37"/>
        <v>-</v>
      </c>
      <c r="J59" s="196">
        <f t="shared" si="34"/>
        <v>0</v>
      </c>
      <c r="K59" s="195">
        <v>0</v>
      </c>
      <c r="L59" s="195">
        <v>0</v>
      </c>
      <c r="M59" s="195">
        <v>0</v>
      </c>
      <c r="N59" s="195">
        <v>0</v>
      </c>
      <c r="O59" s="195">
        <v>0</v>
      </c>
      <c r="P59" s="195">
        <v>0</v>
      </c>
      <c r="Q59" s="196" t="str">
        <f t="shared" si="38"/>
        <v>-</v>
      </c>
      <c r="R59" s="196">
        <f t="shared" si="36"/>
        <v>0</v>
      </c>
      <c r="S59" s="195">
        <v>165</v>
      </c>
      <c r="T59" s="195">
        <v>550</v>
      </c>
      <c r="U59" s="195">
        <v>522</v>
      </c>
      <c r="V59" s="195">
        <v>589</v>
      </c>
      <c r="W59" s="195">
        <v>675</v>
      </c>
      <c r="X59" s="196">
        <f t="shared" si="39"/>
        <v>0.14601018675721567</v>
      </c>
      <c r="Y59" s="196">
        <f t="shared" si="40"/>
        <v>1.9236150968732563E-4</v>
      </c>
    </row>
    <row r="60" spans="1:25" x14ac:dyDescent="0.25">
      <c r="A60" s="74"/>
      <c r="B60" s="194" t="s">
        <v>130</v>
      </c>
      <c r="C60" s="195">
        <v>0</v>
      </c>
      <c r="D60" s="195">
        <v>22</v>
      </c>
      <c r="E60" s="195">
        <v>0</v>
      </c>
      <c r="F60" s="195">
        <v>0</v>
      </c>
      <c r="G60" s="195">
        <v>0</v>
      </c>
      <c r="H60" s="195">
        <v>0</v>
      </c>
      <c r="I60" s="196" t="str">
        <f t="shared" si="37"/>
        <v>-</v>
      </c>
      <c r="J60" s="196">
        <f t="shared" si="34"/>
        <v>0</v>
      </c>
      <c r="K60" s="195">
        <v>0</v>
      </c>
      <c r="L60" s="195">
        <v>0</v>
      </c>
      <c r="M60" s="195">
        <v>0</v>
      </c>
      <c r="N60" s="195">
        <v>0</v>
      </c>
      <c r="O60" s="195">
        <v>0</v>
      </c>
      <c r="P60" s="195">
        <v>0</v>
      </c>
      <c r="Q60" s="196" t="str">
        <f t="shared" si="38"/>
        <v>-</v>
      </c>
      <c r="R60" s="196">
        <f t="shared" si="36"/>
        <v>0</v>
      </c>
      <c r="S60" s="195">
        <v>76</v>
      </c>
      <c r="T60" s="195">
        <v>70</v>
      </c>
      <c r="U60" s="195">
        <v>182</v>
      </c>
      <c r="V60" s="195">
        <v>98</v>
      </c>
      <c r="W60" s="195">
        <v>180</v>
      </c>
      <c r="X60" s="196">
        <f t="shared" si="39"/>
        <v>0.83673469387755106</v>
      </c>
      <c r="Y60" s="196">
        <f t="shared" si="40"/>
        <v>5.1296402583286835E-5</v>
      </c>
    </row>
    <row r="61" spans="1:25" x14ac:dyDescent="0.25">
      <c r="A61" s="74"/>
      <c r="B61" s="194" t="s">
        <v>133</v>
      </c>
      <c r="C61" s="195">
        <v>6</v>
      </c>
      <c r="D61" s="195">
        <v>14</v>
      </c>
      <c r="E61" s="195">
        <v>0</v>
      </c>
      <c r="F61" s="195">
        <v>0</v>
      </c>
      <c r="G61" s="195">
        <v>0</v>
      </c>
      <c r="H61" s="195">
        <v>0</v>
      </c>
      <c r="I61" s="196" t="str">
        <f t="shared" si="37"/>
        <v>-</v>
      </c>
      <c r="J61" s="196">
        <f t="shared" si="34"/>
        <v>0</v>
      </c>
      <c r="K61" s="195">
        <v>0</v>
      </c>
      <c r="L61" s="195">
        <v>0</v>
      </c>
      <c r="M61" s="195">
        <v>0</v>
      </c>
      <c r="N61" s="195">
        <v>0</v>
      </c>
      <c r="O61" s="195">
        <v>0</v>
      </c>
      <c r="P61" s="195">
        <v>0</v>
      </c>
      <c r="Q61" s="196" t="str">
        <f t="shared" si="38"/>
        <v>-</v>
      </c>
      <c r="R61" s="196">
        <f t="shared" si="36"/>
        <v>0</v>
      </c>
      <c r="S61" s="195">
        <v>111</v>
      </c>
      <c r="T61" s="195">
        <v>110</v>
      </c>
      <c r="U61" s="195">
        <v>156</v>
      </c>
      <c r="V61" s="195">
        <v>98</v>
      </c>
      <c r="W61" s="195">
        <v>435</v>
      </c>
      <c r="X61" s="196">
        <f t="shared" si="39"/>
        <v>3.4387755102040813</v>
      </c>
      <c r="Y61" s="196">
        <f t="shared" si="40"/>
        <v>1.2396630624294318E-4</v>
      </c>
    </row>
    <row r="62" spans="1:25" x14ac:dyDescent="0.25">
      <c r="A62" s="74"/>
      <c r="B62" s="199" t="s">
        <v>147</v>
      </c>
      <c r="C62" s="200">
        <f t="shared" ref="C62" si="41">C54-SUM(C55:C61)</f>
        <v>143</v>
      </c>
      <c r="D62" s="200">
        <f t="shared" ref="D62:H62" si="42">D54-SUM(D55:D61)</f>
        <v>997</v>
      </c>
      <c r="E62" s="200">
        <f t="shared" si="42"/>
        <v>0</v>
      </c>
      <c r="F62" s="200">
        <f t="shared" si="42"/>
        <v>0</v>
      </c>
      <c r="G62" s="200">
        <f t="shared" si="42"/>
        <v>0</v>
      </c>
      <c r="H62" s="200">
        <f t="shared" si="42"/>
        <v>0</v>
      </c>
      <c r="I62" s="201" t="str">
        <f t="shared" si="37"/>
        <v>-</v>
      </c>
      <c r="J62" s="201">
        <f t="shared" si="34"/>
        <v>0</v>
      </c>
      <c r="K62" s="200">
        <f t="shared" ref="K62:P62" si="43">K54-SUM(K55:K61)</f>
        <v>0</v>
      </c>
      <c r="L62" s="200">
        <f t="shared" si="43"/>
        <v>0</v>
      </c>
      <c r="M62" s="200">
        <f t="shared" si="43"/>
        <v>0</v>
      </c>
      <c r="N62" s="200">
        <f t="shared" si="43"/>
        <v>0</v>
      </c>
      <c r="O62" s="200">
        <f t="shared" si="43"/>
        <v>0</v>
      </c>
      <c r="P62" s="200">
        <f t="shared" si="43"/>
        <v>0</v>
      </c>
      <c r="Q62" s="201" t="str">
        <f t="shared" si="38"/>
        <v>-</v>
      </c>
      <c r="R62" s="201">
        <f t="shared" si="36"/>
        <v>0</v>
      </c>
      <c r="S62" s="200">
        <f>S54-SUM(S55:S61)</f>
        <v>2183</v>
      </c>
      <c r="T62" s="200">
        <f>T54-SUM(T55:T61)</f>
        <v>6840</v>
      </c>
      <c r="U62" s="200">
        <f>U54-SUM(U55:U61)</f>
        <v>8109</v>
      </c>
      <c r="V62" s="200">
        <f>V54-SUM(V55:V61)</f>
        <v>8187</v>
      </c>
      <c r="W62" s="200">
        <f>W54-SUM(W55:W61)</f>
        <v>8028</v>
      </c>
      <c r="X62" s="201">
        <f t="shared" si="39"/>
        <v>-1.9421033345547789E-2</v>
      </c>
      <c r="Y62" s="201">
        <f t="shared" si="40"/>
        <v>2.287819555214593E-3</v>
      </c>
    </row>
    <row r="63" spans="1:25" x14ac:dyDescent="0.25">
      <c r="A63" s="74"/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</row>
    <row r="64" spans="1:25" x14ac:dyDescent="0.25">
      <c r="A64" s="74"/>
      <c r="B64" s="187" t="s">
        <v>70</v>
      </c>
      <c r="C64" s="209">
        <f t="shared" ref="C64:H64" si="44">C65+C68</f>
        <v>1940</v>
      </c>
      <c r="D64" s="209">
        <f t="shared" si="44"/>
        <v>0</v>
      </c>
      <c r="E64" s="209">
        <f t="shared" si="44"/>
        <v>0</v>
      </c>
      <c r="F64" s="209">
        <f t="shared" si="44"/>
        <v>0</v>
      </c>
      <c r="G64" s="209">
        <f t="shared" si="44"/>
        <v>0</v>
      </c>
      <c r="H64" s="209">
        <f t="shared" si="44"/>
        <v>0</v>
      </c>
      <c r="I64" s="210" t="str">
        <f>IFERROR(H64/G64-1,"-")</f>
        <v>-</v>
      </c>
      <c r="J64" s="210">
        <f t="shared" ref="J64:J76" si="45">H64/H$8</f>
        <v>0</v>
      </c>
      <c r="K64" s="209">
        <f t="shared" ref="K64:P64" si="46">K65+K68</f>
        <v>27988</v>
      </c>
      <c r="L64" s="209">
        <f t="shared" si="46"/>
        <v>44291</v>
      </c>
      <c r="M64" s="209">
        <f t="shared" si="46"/>
        <v>0</v>
      </c>
      <c r="N64" s="209">
        <f t="shared" si="46"/>
        <v>86395</v>
      </c>
      <c r="O64" s="209">
        <f t="shared" si="46"/>
        <v>0</v>
      </c>
      <c r="P64" s="209">
        <f t="shared" si="46"/>
        <v>0</v>
      </c>
      <c r="Q64" s="210" t="str">
        <f>IFERROR(P64/O64-1,"-")</f>
        <v>-</v>
      </c>
      <c r="R64" s="210">
        <f t="shared" ref="R64:R76" si="47">P64/P$8</f>
        <v>0</v>
      </c>
      <c r="S64" s="209">
        <f>S65+S68</f>
        <v>40665</v>
      </c>
      <c r="T64" s="209">
        <f>T65+T68</f>
        <v>124085</v>
      </c>
      <c r="U64" s="209">
        <f>U65+U68</f>
        <v>147548</v>
      </c>
      <c r="V64" s="209">
        <f>V65+V68</f>
        <v>167311</v>
      </c>
      <c r="W64" s="209">
        <f>W65+W68</f>
        <v>127098</v>
      </c>
      <c r="X64" s="210">
        <f>IFERROR(W64/V64-1,"-")</f>
        <v>-0.24034881149476128</v>
      </c>
      <c r="Y64" s="210">
        <f>W64/W$8</f>
        <v>3.622038986405883E-2</v>
      </c>
    </row>
    <row r="65" spans="1:25" x14ac:dyDescent="0.25">
      <c r="A65" s="74"/>
      <c r="B65" s="190" t="s">
        <v>99</v>
      </c>
      <c r="C65" s="191">
        <v>97</v>
      </c>
      <c r="D65" s="191">
        <v>0</v>
      </c>
      <c r="E65" s="191">
        <v>0</v>
      </c>
      <c r="F65" s="191">
        <v>0</v>
      </c>
      <c r="G65" s="191">
        <v>0</v>
      </c>
      <c r="H65" s="191">
        <v>0</v>
      </c>
      <c r="I65" s="192" t="str">
        <f>IFERROR(H65/G65-1,"-")</f>
        <v>-</v>
      </c>
      <c r="J65" s="192">
        <f t="shared" si="45"/>
        <v>0</v>
      </c>
      <c r="K65" s="191">
        <v>11254</v>
      </c>
      <c r="L65" s="191">
        <v>23633</v>
      </c>
      <c r="M65" s="191">
        <v>0</v>
      </c>
      <c r="N65" s="191">
        <v>33634</v>
      </c>
      <c r="O65" s="191">
        <v>0</v>
      </c>
      <c r="P65" s="191">
        <v>0</v>
      </c>
      <c r="Q65" s="192" t="str">
        <f>IFERROR(P65/O65-1,"-")</f>
        <v>-</v>
      </c>
      <c r="R65" s="192">
        <f t="shared" si="47"/>
        <v>0</v>
      </c>
      <c r="S65" s="191">
        <v>20003</v>
      </c>
      <c r="T65" s="191">
        <v>29429</v>
      </c>
      <c r="U65" s="191">
        <v>39443</v>
      </c>
      <c r="V65" s="191">
        <v>51353</v>
      </c>
      <c r="W65" s="191">
        <v>35167</v>
      </c>
      <c r="X65" s="192">
        <f>IFERROR(W65/V65-1,"-")</f>
        <v>-0.31519093334371895</v>
      </c>
      <c r="Y65" s="192">
        <f>W65/W$8</f>
        <v>1.0021892164702489E-2</v>
      </c>
    </row>
    <row r="66" spans="1:25" x14ac:dyDescent="0.25">
      <c r="A66" s="74"/>
      <c r="B66" s="194" t="s">
        <v>105</v>
      </c>
      <c r="C66" s="195">
        <v>57</v>
      </c>
      <c r="D66" s="195">
        <v>0</v>
      </c>
      <c r="E66" s="195">
        <v>0</v>
      </c>
      <c r="F66" s="195">
        <v>0</v>
      </c>
      <c r="G66" s="195">
        <v>0</v>
      </c>
      <c r="H66" s="195">
        <v>0</v>
      </c>
      <c r="I66" s="196" t="str">
        <f>IFERROR(H66/G66-1,"-")</f>
        <v>-</v>
      </c>
      <c r="J66" s="196">
        <f t="shared" si="45"/>
        <v>0</v>
      </c>
      <c r="K66" s="195">
        <v>3946</v>
      </c>
      <c r="L66" s="195">
        <v>20260</v>
      </c>
      <c r="M66" s="195">
        <v>0</v>
      </c>
      <c r="N66" s="195">
        <v>23748</v>
      </c>
      <c r="O66" s="195">
        <v>0</v>
      </c>
      <c r="P66" s="195">
        <v>0</v>
      </c>
      <c r="Q66" s="196" t="str">
        <f>IFERROR(P66/O66-1,"-")</f>
        <v>-</v>
      </c>
      <c r="R66" s="196">
        <f t="shared" si="47"/>
        <v>0</v>
      </c>
      <c r="S66" s="195">
        <v>7091</v>
      </c>
      <c r="T66" s="195">
        <v>22700</v>
      </c>
      <c r="U66" s="195">
        <v>28099</v>
      </c>
      <c r="V66" s="195">
        <v>31529</v>
      </c>
      <c r="W66" s="195">
        <v>11996</v>
      </c>
      <c r="X66" s="196">
        <f>IFERROR(W66/V66-1,"-")</f>
        <v>-0.61952488185480037</v>
      </c>
      <c r="Y66" s="196">
        <f>W66/W$8</f>
        <v>3.4186202521617158E-3</v>
      </c>
    </row>
    <row r="67" spans="1:25" x14ac:dyDescent="0.25">
      <c r="A67" s="74"/>
      <c r="B67" s="194" t="s">
        <v>102</v>
      </c>
      <c r="C67" s="195">
        <v>40</v>
      </c>
      <c r="D67" s="195">
        <v>0</v>
      </c>
      <c r="E67" s="195">
        <v>0</v>
      </c>
      <c r="F67" s="195">
        <v>0</v>
      </c>
      <c r="G67" s="195">
        <v>0</v>
      </c>
      <c r="H67" s="195">
        <v>0</v>
      </c>
      <c r="I67" s="196" t="str">
        <f>IFERROR(H67/G67-1,"-")</f>
        <v>-</v>
      </c>
      <c r="J67" s="196">
        <f t="shared" si="45"/>
        <v>0</v>
      </c>
      <c r="K67" s="195">
        <v>7308</v>
      </c>
      <c r="L67" s="195">
        <v>3373</v>
      </c>
      <c r="M67" s="195">
        <v>0</v>
      </c>
      <c r="N67" s="195">
        <v>9886</v>
      </c>
      <c r="O67" s="195">
        <v>0</v>
      </c>
      <c r="P67" s="195">
        <v>0</v>
      </c>
      <c r="Q67" s="196" t="str">
        <f>IFERROR(P67/O67-1,"-")</f>
        <v>-</v>
      </c>
      <c r="R67" s="196">
        <f t="shared" si="47"/>
        <v>0</v>
      </c>
      <c r="S67" s="195">
        <v>12912</v>
      </c>
      <c r="T67" s="195">
        <v>6729</v>
      </c>
      <c r="U67" s="195">
        <v>11344</v>
      </c>
      <c r="V67" s="195">
        <v>19824</v>
      </c>
      <c r="W67" s="195">
        <v>23171</v>
      </c>
      <c r="X67" s="196">
        <f>IFERROR(W67/V67-1,"-")</f>
        <v>0.16883575464083944</v>
      </c>
      <c r="Y67" s="196">
        <f>W67/W$8</f>
        <v>6.6032719125407738E-3</v>
      </c>
    </row>
    <row r="68" spans="1:25" x14ac:dyDescent="0.25">
      <c r="A68" s="74"/>
      <c r="B68" s="190" t="s">
        <v>109</v>
      </c>
      <c r="C68" s="191">
        <v>1843</v>
      </c>
      <c r="D68" s="191">
        <v>0</v>
      </c>
      <c r="E68" s="191">
        <v>0</v>
      </c>
      <c r="F68" s="191">
        <v>0</v>
      </c>
      <c r="G68" s="191">
        <v>0</v>
      </c>
      <c r="H68" s="191">
        <v>0</v>
      </c>
      <c r="I68" s="192" t="str">
        <f>IFERROR(H68/G68-1,"-")</f>
        <v>-</v>
      </c>
      <c r="J68" s="192">
        <f t="shared" si="45"/>
        <v>0</v>
      </c>
      <c r="K68" s="191">
        <v>16734</v>
      </c>
      <c r="L68" s="191">
        <v>20658</v>
      </c>
      <c r="M68" s="191">
        <v>0</v>
      </c>
      <c r="N68" s="191">
        <v>52761</v>
      </c>
      <c r="O68" s="191">
        <v>0</v>
      </c>
      <c r="P68" s="191">
        <v>0</v>
      </c>
      <c r="Q68" s="192" t="str">
        <f>IFERROR(P68/O68-1,"-")</f>
        <v>-</v>
      </c>
      <c r="R68" s="192">
        <f t="shared" si="47"/>
        <v>0</v>
      </c>
      <c r="S68" s="191">
        <v>20662</v>
      </c>
      <c r="T68" s="191">
        <v>94656</v>
      </c>
      <c r="U68" s="191">
        <v>108105</v>
      </c>
      <c r="V68" s="191">
        <v>115958</v>
      </c>
      <c r="W68" s="191">
        <v>91931</v>
      </c>
      <c r="X68" s="192">
        <f>IFERROR(W68/V68-1,"-")</f>
        <v>-0.20720433260318394</v>
      </c>
      <c r="Y68" s="192">
        <f>W68/W$8</f>
        <v>2.6198497699356345E-2</v>
      </c>
    </row>
    <row r="69" spans="1:25" s="74" customFormat="1" x14ac:dyDescent="0.25">
      <c r="B69" s="194" t="s">
        <v>112</v>
      </c>
      <c r="C69" s="195">
        <v>217</v>
      </c>
      <c r="D69" s="195">
        <v>0</v>
      </c>
      <c r="E69" s="195">
        <v>0</v>
      </c>
      <c r="F69" s="195">
        <v>0</v>
      </c>
      <c r="G69" s="195">
        <v>0</v>
      </c>
      <c r="H69" s="195">
        <v>0</v>
      </c>
      <c r="I69" s="196" t="str">
        <f t="shared" ref="I69:I76" si="48">IFERROR(H69/G69-1,"-")</f>
        <v>-</v>
      </c>
      <c r="J69" s="196">
        <f t="shared" si="45"/>
        <v>0</v>
      </c>
      <c r="K69" s="195">
        <v>6895</v>
      </c>
      <c r="L69" s="195">
        <v>5486</v>
      </c>
      <c r="M69" s="195">
        <v>0</v>
      </c>
      <c r="N69" s="195">
        <v>19684</v>
      </c>
      <c r="O69" s="195">
        <v>0</v>
      </c>
      <c r="P69" s="195">
        <v>0</v>
      </c>
      <c r="Q69" s="196" t="str">
        <f t="shared" ref="Q69:Q76" si="49">IFERROR(P69/O69-1,"-")</f>
        <v>-</v>
      </c>
      <c r="R69" s="196">
        <f t="shared" si="47"/>
        <v>0</v>
      </c>
      <c r="S69" s="195">
        <v>7853</v>
      </c>
      <c r="T69" s="195">
        <v>44166</v>
      </c>
      <c r="U69" s="195">
        <v>39770</v>
      </c>
      <c r="V69" s="195">
        <v>39292</v>
      </c>
      <c r="W69" s="195">
        <v>40004</v>
      </c>
      <c r="X69" s="196">
        <f t="shared" ref="X69:X76" si="50">IFERROR(W69/V69-1,"-")</f>
        <v>1.8120737045709046E-2</v>
      </c>
      <c r="Y69" s="196">
        <f t="shared" ref="Y69:Y76" si="51">W69/W$8</f>
        <v>1.1400340494121147E-2</v>
      </c>
    </row>
    <row r="70" spans="1:25" s="74" customFormat="1" x14ac:dyDescent="0.25">
      <c r="B70" s="194" t="s">
        <v>115</v>
      </c>
      <c r="C70" s="195">
        <v>271</v>
      </c>
      <c r="D70" s="195">
        <v>0</v>
      </c>
      <c r="E70" s="195">
        <v>0</v>
      </c>
      <c r="F70" s="195">
        <v>0</v>
      </c>
      <c r="G70" s="195">
        <v>0</v>
      </c>
      <c r="H70" s="195">
        <v>0</v>
      </c>
      <c r="I70" s="196" t="str">
        <f t="shared" si="48"/>
        <v>-</v>
      </c>
      <c r="J70" s="196">
        <f t="shared" si="45"/>
        <v>0</v>
      </c>
      <c r="K70" s="195">
        <v>2038</v>
      </c>
      <c r="L70" s="195">
        <v>2729</v>
      </c>
      <c r="M70" s="195">
        <v>0</v>
      </c>
      <c r="N70" s="195">
        <v>3989</v>
      </c>
      <c r="O70" s="195">
        <v>0</v>
      </c>
      <c r="P70" s="195">
        <v>0</v>
      </c>
      <c r="Q70" s="196" t="str">
        <f t="shared" si="49"/>
        <v>-</v>
      </c>
      <c r="R70" s="196">
        <f t="shared" si="47"/>
        <v>0</v>
      </c>
      <c r="S70" s="195">
        <v>2468</v>
      </c>
      <c r="T70" s="195">
        <v>5830</v>
      </c>
      <c r="U70" s="195">
        <v>7118</v>
      </c>
      <c r="V70" s="195">
        <v>7568</v>
      </c>
      <c r="W70" s="195">
        <v>8306</v>
      </c>
      <c r="X70" s="196">
        <f t="shared" si="50"/>
        <v>9.751585623678638E-2</v>
      </c>
      <c r="Y70" s="196">
        <f t="shared" si="51"/>
        <v>2.3670439992043357E-3</v>
      </c>
    </row>
    <row r="71" spans="1:25" x14ac:dyDescent="0.25">
      <c r="A71" s="74"/>
      <c r="B71" s="194" t="s">
        <v>118</v>
      </c>
      <c r="C71" s="195">
        <v>564</v>
      </c>
      <c r="D71" s="195">
        <v>0</v>
      </c>
      <c r="E71" s="195">
        <v>0</v>
      </c>
      <c r="F71" s="195">
        <v>0</v>
      </c>
      <c r="G71" s="195">
        <v>0</v>
      </c>
      <c r="H71" s="195">
        <v>0</v>
      </c>
      <c r="I71" s="196" t="str">
        <f t="shared" si="48"/>
        <v>-</v>
      </c>
      <c r="J71" s="196">
        <f t="shared" si="45"/>
        <v>0</v>
      </c>
      <c r="K71" s="195">
        <v>1895</v>
      </c>
      <c r="L71" s="195">
        <v>3553</v>
      </c>
      <c r="M71" s="195">
        <v>0</v>
      </c>
      <c r="N71" s="195">
        <v>7111</v>
      </c>
      <c r="O71" s="195">
        <v>0</v>
      </c>
      <c r="P71" s="195">
        <v>0</v>
      </c>
      <c r="Q71" s="196" t="str">
        <f t="shared" si="49"/>
        <v>-</v>
      </c>
      <c r="R71" s="196">
        <f t="shared" si="47"/>
        <v>0</v>
      </c>
      <c r="S71" s="195">
        <v>2800</v>
      </c>
      <c r="T71" s="195">
        <v>14265</v>
      </c>
      <c r="U71" s="195">
        <v>14596</v>
      </c>
      <c r="V71" s="195">
        <v>17781</v>
      </c>
      <c r="W71" s="195">
        <v>8543</v>
      </c>
      <c r="X71" s="196">
        <f t="shared" si="50"/>
        <v>-0.51954333277093534</v>
      </c>
      <c r="Y71" s="196">
        <f t="shared" si="51"/>
        <v>2.4345842626056634E-3</v>
      </c>
    </row>
    <row r="72" spans="1:25" x14ac:dyDescent="0.25">
      <c r="A72" s="74"/>
      <c r="B72" s="194" t="s">
        <v>125</v>
      </c>
      <c r="C72" s="195">
        <v>22</v>
      </c>
      <c r="D72" s="195">
        <v>0</v>
      </c>
      <c r="E72" s="195">
        <v>0</v>
      </c>
      <c r="F72" s="195">
        <v>0</v>
      </c>
      <c r="G72" s="195">
        <v>0</v>
      </c>
      <c r="H72" s="195">
        <v>0</v>
      </c>
      <c r="I72" s="196" t="str">
        <f t="shared" si="48"/>
        <v>-</v>
      </c>
      <c r="J72" s="196">
        <f t="shared" si="45"/>
        <v>0</v>
      </c>
      <c r="K72" s="195">
        <v>228</v>
      </c>
      <c r="L72" s="195">
        <v>818</v>
      </c>
      <c r="M72" s="195">
        <v>0</v>
      </c>
      <c r="N72" s="195">
        <v>1507</v>
      </c>
      <c r="O72" s="195">
        <v>0</v>
      </c>
      <c r="P72" s="195">
        <v>0</v>
      </c>
      <c r="Q72" s="196" t="str">
        <f t="shared" si="49"/>
        <v>-</v>
      </c>
      <c r="R72" s="196">
        <f t="shared" si="47"/>
        <v>0</v>
      </c>
      <c r="S72" s="195">
        <v>265</v>
      </c>
      <c r="T72" s="195">
        <v>1612</v>
      </c>
      <c r="U72" s="195">
        <v>2887</v>
      </c>
      <c r="V72" s="195">
        <v>3774</v>
      </c>
      <c r="W72" s="195">
        <v>2089</v>
      </c>
      <c r="X72" s="196">
        <f t="shared" si="50"/>
        <v>-0.44647588765235824</v>
      </c>
      <c r="Y72" s="196">
        <f t="shared" si="51"/>
        <v>5.9532324998047884E-4</v>
      </c>
    </row>
    <row r="73" spans="1:25" x14ac:dyDescent="0.25">
      <c r="A73" s="74"/>
      <c r="B73" s="194" t="s">
        <v>121</v>
      </c>
      <c r="C73" s="195">
        <v>0</v>
      </c>
      <c r="D73" s="195">
        <v>0</v>
      </c>
      <c r="E73" s="195">
        <v>0</v>
      </c>
      <c r="F73" s="195">
        <v>0</v>
      </c>
      <c r="G73" s="195">
        <v>0</v>
      </c>
      <c r="H73" s="195">
        <v>0</v>
      </c>
      <c r="I73" s="196" t="str">
        <f t="shared" si="48"/>
        <v>-</v>
      </c>
      <c r="J73" s="196">
        <f t="shared" si="45"/>
        <v>0</v>
      </c>
      <c r="K73" s="195">
        <v>591</v>
      </c>
      <c r="L73" s="195">
        <v>1017</v>
      </c>
      <c r="M73" s="195">
        <v>0</v>
      </c>
      <c r="N73" s="195">
        <v>1205</v>
      </c>
      <c r="O73" s="195">
        <v>0</v>
      </c>
      <c r="P73" s="195">
        <v>0</v>
      </c>
      <c r="Q73" s="196" t="str">
        <f t="shared" si="49"/>
        <v>-</v>
      </c>
      <c r="R73" s="196">
        <f t="shared" si="47"/>
        <v>0</v>
      </c>
      <c r="S73" s="195">
        <v>831</v>
      </c>
      <c r="T73" s="195">
        <v>2323</v>
      </c>
      <c r="U73" s="195">
        <v>2141</v>
      </c>
      <c r="V73" s="195">
        <v>3327</v>
      </c>
      <c r="W73" s="195">
        <v>2383</v>
      </c>
      <c r="X73" s="196">
        <f t="shared" si="50"/>
        <v>-0.28373910429816651</v>
      </c>
      <c r="Y73" s="196">
        <f t="shared" si="51"/>
        <v>6.7910737419984741E-4</v>
      </c>
    </row>
    <row r="74" spans="1:25" x14ac:dyDescent="0.25">
      <c r="A74" s="74"/>
      <c r="B74" s="194" t="s">
        <v>130</v>
      </c>
      <c r="C74" s="195">
        <v>83</v>
      </c>
      <c r="D74" s="195">
        <v>0</v>
      </c>
      <c r="E74" s="195">
        <v>0</v>
      </c>
      <c r="F74" s="195">
        <v>0</v>
      </c>
      <c r="G74" s="195">
        <v>0</v>
      </c>
      <c r="H74" s="195">
        <v>0</v>
      </c>
      <c r="I74" s="196" t="str">
        <f t="shared" si="48"/>
        <v>-</v>
      </c>
      <c r="J74" s="196">
        <f t="shared" si="45"/>
        <v>0</v>
      </c>
      <c r="K74" s="195">
        <v>551</v>
      </c>
      <c r="L74" s="195">
        <v>128</v>
      </c>
      <c r="M74" s="195">
        <v>0</v>
      </c>
      <c r="N74" s="195">
        <v>311</v>
      </c>
      <c r="O74" s="195">
        <v>0</v>
      </c>
      <c r="P74" s="195">
        <v>0</v>
      </c>
      <c r="Q74" s="196" t="str">
        <f t="shared" si="49"/>
        <v>-</v>
      </c>
      <c r="R74" s="196">
        <f t="shared" si="47"/>
        <v>0</v>
      </c>
      <c r="S74" s="195">
        <v>636</v>
      </c>
      <c r="T74" s="195">
        <v>1235</v>
      </c>
      <c r="U74" s="195">
        <v>3490</v>
      </c>
      <c r="V74" s="195">
        <v>1888</v>
      </c>
      <c r="W74" s="195">
        <v>902</v>
      </c>
      <c r="X74" s="196">
        <f t="shared" si="50"/>
        <v>-0.5222457627118644</v>
      </c>
      <c r="Y74" s="196">
        <f t="shared" si="51"/>
        <v>2.5705197294513738E-4</v>
      </c>
    </row>
    <row r="75" spans="1:25" x14ac:dyDescent="0.25">
      <c r="A75" s="74"/>
      <c r="B75" s="194" t="s">
        <v>133</v>
      </c>
      <c r="C75" s="195">
        <v>63</v>
      </c>
      <c r="D75" s="195">
        <v>0</v>
      </c>
      <c r="E75" s="195">
        <v>0</v>
      </c>
      <c r="F75" s="195">
        <v>0</v>
      </c>
      <c r="G75" s="195">
        <v>0</v>
      </c>
      <c r="H75" s="195">
        <v>0</v>
      </c>
      <c r="I75" s="196" t="str">
        <f t="shared" si="48"/>
        <v>-</v>
      </c>
      <c r="J75" s="196">
        <f t="shared" si="45"/>
        <v>0</v>
      </c>
      <c r="K75" s="195">
        <v>710</v>
      </c>
      <c r="L75" s="195">
        <v>59</v>
      </c>
      <c r="M75" s="195">
        <v>0</v>
      </c>
      <c r="N75" s="195">
        <v>122</v>
      </c>
      <c r="O75" s="195">
        <v>0</v>
      </c>
      <c r="P75" s="195">
        <v>0</v>
      </c>
      <c r="Q75" s="196" t="str">
        <f t="shared" si="49"/>
        <v>-</v>
      </c>
      <c r="R75" s="196">
        <f t="shared" si="47"/>
        <v>0</v>
      </c>
      <c r="S75" s="195">
        <v>855</v>
      </c>
      <c r="T75" s="195">
        <v>331</v>
      </c>
      <c r="U75" s="195">
        <v>1010</v>
      </c>
      <c r="V75" s="195">
        <v>294</v>
      </c>
      <c r="W75" s="195">
        <v>631</v>
      </c>
      <c r="X75" s="196">
        <f t="shared" si="50"/>
        <v>1.1462585034013606</v>
      </c>
      <c r="Y75" s="196">
        <f t="shared" si="51"/>
        <v>1.7982238905585551E-4</v>
      </c>
    </row>
    <row r="76" spans="1:25" x14ac:dyDescent="0.25">
      <c r="A76" s="74"/>
      <c r="B76" s="199" t="s">
        <v>147</v>
      </c>
      <c r="C76" s="200">
        <f t="shared" ref="C76" si="52">C68-SUM(C69:C75)</f>
        <v>623</v>
      </c>
      <c r="D76" s="200">
        <f t="shared" ref="D76:H76" si="53">D68-SUM(D69:D75)</f>
        <v>0</v>
      </c>
      <c r="E76" s="200">
        <f t="shared" si="53"/>
        <v>0</v>
      </c>
      <c r="F76" s="200">
        <f t="shared" si="53"/>
        <v>0</v>
      </c>
      <c r="G76" s="200">
        <f t="shared" si="53"/>
        <v>0</v>
      </c>
      <c r="H76" s="200">
        <f t="shared" si="53"/>
        <v>0</v>
      </c>
      <c r="I76" s="201" t="str">
        <f t="shared" si="48"/>
        <v>-</v>
      </c>
      <c r="J76" s="201">
        <f t="shared" si="45"/>
        <v>0</v>
      </c>
      <c r="K76" s="200">
        <f t="shared" ref="K76:P76" si="54">K68-SUM(K69:K75)</f>
        <v>3826</v>
      </c>
      <c r="L76" s="200">
        <f t="shared" si="54"/>
        <v>6868</v>
      </c>
      <c r="M76" s="200">
        <f t="shared" si="54"/>
        <v>0</v>
      </c>
      <c r="N76" s="200">
        <f t="shared" si="54"/>
        <v>18832</v>
      </c>
      <c r="O76" s="200">
        <f t="shared" si="54"/>
        <v>0</v>
      </c>
      <c r="P76" s="200">
        <f t="shared" si="54"/>
        <v>0</v>
      </c>
      <c r="Q76" s="201" t="str">
        <f t="shared" si="49"/>
        <v>-</v>
      </c>
      <c r="R76" s="201">
        <f t="shared" si="47"/>
        <v>0</v>
      </c>
      <c r="S76" s="200">
        <f>S68-SUM(S69:S75)</f>
        <v>4954</v>
      </c>
      <c r="T76" s="200">
        <f>T68-SUM(T69:T75)</f>
        <v>24894</v>
      </c>
      <c r="U76" s="200">
        <f>U68-SUM(U69:U75)</f>
        <v>37093</v>
      </c>
      <c r="V76" s="200">
        <f>V68-SUM(V69:V75)</f>
        <v>42034</v>
      </c>
      <c r="W76" s="200">
        <f>W68-SUM(W69:W75)</f>
        <v>29073</v>
      </c>
      <c r="X76" s="201">
        <f t="shared" si="50"/>
        <v>-0.30834562497026219</v>
      </c>
      <c r="Y76" s="201">
        <f t="shared" si="51"/>
        <v>8.2852239572438792E-3</v>
      </c>
    </row>
    <row r="77" spans="1:25" x14ac:dyDescent="0.25">
      <c r="A77" s="74"/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</row>
    <row r="78" spans="1:25" x14ac:dyDescent="0.25">
      <c r="A78" s="74"/>
      <c r="B78" s="187" t="s">
        <v>70</v>
      </c>
      <c r="C78" s="209">
        <f t="shared" ref="C78:H78" si="55">C79+C82</f>
        <v>29634</v>
      </c>
      <c r="D78" s="209">
        <f t="shared" si="55"/>
        <v>53192</v>
      </c>
      <c r="E78" s="209">
        <f t="shared" si="55"/>
        <v>82780</v>
      </c>
      <c r="F78" s="209">
        <f t="shared" si="55"/>
        <v>86011</v>
      </c>
      <c r="G78" s="209">
        <f t="shared" si="55"/>
        <v>98362</v>
      </c>
      <c r="H78" s="209">
        <f t="shared" si="55"/>
        <v>107867</v>
      </c>
      <c r="I78" s="210">
        <f>IFERROR(H78/G78-1,"-")</f>
        <v>9.6632846017771001E-2</v>
      </c>
      <c r="J78" s="210">
        <f t="shared" ref="J78:J90" si="56">H78/H$8</f>
        <v>0.17091171824371323</v>
      </c>
      <c r="K78" s="209">
        <f t="shared" ref="K78:P78" si="57">K79+K82</f>
        <v>128814</v>
      </c>
      <c r="L78" s="209">
        <f t="shared" si="57"/>
        <v>157552</v>
      </c>
      <c r="M78" s="209">
        <f t="shared" si="57"/>
        <v>391658</v>
      </c>
      <c r="N78" s="209">
        <f t="shared" si="57"/>
        <v>460097</v>
      </c>
      <c r="O78" s="209">
        <f t="shared" si="57"/>
        <v>525364</v>
      </c>
      <c r="P78" s="209">
        <f t="shared" si="57"/>
        <v>522395</v>
      </c>
      <c r="Q78" s="210">
        <f>IFERROR(P78/O78-1,"-")</f>
        <v>-5.6513198468109982E-3</v>
      </c>
      <c r="R78" s="210">
        <f t="shared" ref="R78:R90" si="58">P78/P$8</f>
        <v>0.18152007841853635</v>
      </c>
      <c r="S78" s="209">
        <f>S79+S82</f>
        <v>158448</v>
      </c>
      <c r="T78" s="209">
        <f>T79+T82</f>
        <v>474438</v>
      </c>
      <c r="U78" s="209">
        <f>U79+U82</f>
        <v>546108</v>
      </c>
      <c r="V78" s="209">
        <f>V79+V82</f>
        <v>623726</v>
      </c>
      <c r="W78" s="209">
        <f>W79+W82</f>
        <v>630262</v>
      </c>
      <c r="X78" s="210">
        <f>IFERROR(W78/V78-1,"-")</f>
        <v>1.0478960312701346E-2</v>
      </c>
      <c r="Y78" s="210">
        <f>W78/W$8</f>
        <v>0.17961207380526403</v>
      </c>
    </row>
    <row r="79" spans="1:25" x14ac:dyDescent="0.25">
      <c r="A79" s="74"/>
      <c r="B79" s="190" t="s">
        <v>99</v>
      </c>
      <c r="C79" s="191">
        <v>12462</v>
      </c>
      <c r="D79" s="191">
        <v>31855</v>
      </c>
      <c r="E79" s="191">
        <v>43446</v>
      </c>
      <c r="F79" s="191">
        <v>43583</v>
      </c>
      <c r="G79" s="191">
        <v>48477</v>
      </c>
      <c r="H79" s="191">
        <v>57131</v>
      </c>
      <c r="I79" s="192">
        <f>IFERROR(H79/G79-1,"-")</f>
        <v>0.1785176475441963</v>
      </c>
      <c r="J79" s="192">
        <f t="shared" si="56"/>
        <v>9.052219283915916E-2</v>
      </c>
      <c r="K79" s="191">
        <v>58856</v>
      </c>
      <c r="L79" s="191">
        <v>89810</v>
      </c>
      <c r="M79" s="191">
        <v>198119</v>
      </c>
      <c r="N79" s="191">
        <v>203669</v>
      </c>
      <c r="O79" s="191">
        <v>213191</v>
      </c>
      <c r="P79" s="191">
        <v>214063</v>
      </c>
      <c r="Q79" s="192">
        <f>IFERROR(P79/O79-1,"-")</f>
        <v>4.0902289496274058E-3</v>
      </c>
      <c r="R79" s="192">
        <f t="shared" si="58"/>
        <v>7.4381899800930615E-2</v>
      </c>
      <c r="S79" s="191">
        <v>71318</v>
      </c>
      <c r="T79" s="191">
        <v>241565</v>
      </c>
      <c r="U79" s="191">
        <v>247252</v>
      </c>
      <c r="V79" s="191">
        <v>261668</v>
      </c>
      <c r="W79" s="191">
        <v>271194</v>
      </c>
      <c r="X79" s="192">
        <f>IFERROR(W79/V79-1,"-")</f>
        <v>3.6404910038674965E-2</v>
      </c>
      <c r="Y79" s="192">
        <f>W79/W$8</f>
        <v>7.7284870012066048E-2</v>
      </c>
    </row>
    <row r="80" spans="1:25" x14ac:dyDescent="0.25">
      <c r="A80" s="74"/>
      <c r="B80" s="194" t="s">
        <v>105</v>
      </c>
      <c r="C80" s="195">
        <v>5678</v>
      </c>
      <c r="D80" s="195">
        <v>20326</v>
      </c>
      <c r="E80" s="195">
        <v>26841</v>
      </c>
      <c r="F80" s="195">
        <v>27062</v>
      </c>
      <c r="G80" s="195">
        <v>25995</v>
      </c>
      <c r="H80" s="195">
        <v>25798</v>
      </c>
      <c r="I80" s="196">
        <f>IFERROR(H80/G80-1,"-")</f>
        <v>-7.5783804577803648E-3</v>
      </c>
      <c r="J80" s="196">
        <f t="shared" si="56"/>
        <v>4.0876083577473313E-2</v>
      </c>
      <c r="K80" s="195">
        <v>9996</v>
      </c>
      <c r="L80" s="195">
        <v>20015</v>
      </c>
      <c r="M80" s="195">
        <v>31904</v>
      </c>
      <c r="N80" s="195">
        <v>26216</v>
      </c>
      <c r="O80" s="195">
        <v>37813</v>
      </c>
      <c r="P80" s="195">
        <v>34185</v>
      </c>
      <c r="Q80" s="196">
        <f>IFERROR(P80/O80-1,"-")</f>
        <v>-9.5945838732711008E-2</v>
      </c>
      <c r="R80" s="196">
        <f t="shared" si="58"/>
        <v>1.1878490186042487E-2</v>
      </c>
      <c r="S80" s="195">
        <v>15674</v>
      </c>
      <c r="T80" s="195">
        <v>58745</v>
      </c>
      <c r="U80" s="195">
        <v>53278</v>
      </c>
      <c r="V80" s="195">
        <v>63808</v>
      </c>
      <c r="W80" s="195">
        <v>63283</v>
      </c>
      <c r="X80" s="196">
        <f>IFERROR(W80/V80-1,"-")</f>
        <v>-8.2278084252758177E-3</v>
      </c>
      <c r="Y80" s="196">
        <f>W80/W$8</f>
        <v>1.8034390248211893E-2</v>
      </c>
    </row>
    <row r="81" spans="1:25" x14ac:dyDescent="0.25">
      <c r="A81" s="74"/>
      <c r="B81" s="194" t="s">
        <v>102</v>
      </c>
      <c r="C81" s="195">
        <v>6784</v>
      </c>
      <c r="D81" s="195">
        <v>11529</v>
      </c>
      <c r="E81" s="195">
        <v>16605</v>
      </c>
      <c r="F81" s="195">
        <v>16521</v>
      </c>
      <c r="G81" s="195">
        <v>22482</v>
      </c>
      <c r="H81" s="195">
        <v>25756</v>
      </c>
      <c r="I81" s="196">
        <f>IFERROR(H81/G81-1,"-")</f>
        <v>0.1456276132016725</v>
      </c>
      <c r="J81" s="196">
        <f t="shared" si="56"/>
        <v>4.0809535957105306E-2</v>
      </c>
      <c r="K81" s="195">
        <v>48860</v>
      </c>
      <c r="L81" s="195">
        <v>69795</v>
      </c>
      <c r="M81" s="195">
        <v>166215</v>
      </c>
      <c r="N81" s="195">
        <v>177453</v>
      </c>
      <c r="O81" s="195">
        <v>175378</v>
      </c>
      <c r="P81" s="195">
        <v>179878</v>
      </c>
      <c r="Q81" s="196">
        <f>IFERROR(P81/O81-1,"-")</f>
        <v>2.5658862571132035E-2</v>
      </c>
      <c r="R81" s="196">
        <f t="shared" si="58"/>
        <v>6.2503409614888122E-2</v>
      </c>
      <c r="S81" s="195">
        <v>55644</v>
      </c>
      <c r="T81" s="195">
        <v>182820</v>
      </c>
      <c r="U81" s="195">
        <v>193974</v>
      </c>
      <c r="V81" s="195">
        <v>197860</v>
      </c>
      <c r="W81" s="195">
        <v>207911</v>
      </c>
      <c r="X81" s="196">
        <f>IFERROR(W81/V81-1,"-")</f>
        <v>5.0798544425351366E-2</v>
      </c>
      <c r="Y81" s="196">
        <f>W81/W$8</f>
        <v>5.9250479763854162E-2</v>
      </c>
    </row>
    <row r="82" spans="1:25" x14ac:dyDescent="0.25">
      <c r="A82" s="74"/>
      <c r="B82" s="190" t="s">
        <v>109</v>
      </c>
      <c r="C82" s="191">
        <v>17172</v>
      </c>
      <c r="D82" s="191">
        <v>21337</v>
      </c>
      <c r="E82" s="191">
        <v>39334</v>
      </c>
      <c r="F82" s="191">
        <v>42428</v>
      </c>
      <c r="G82" s="191">
        <v>49885</v>
      </c>
      <c r="H82" s="191">
        <v>50736</v>
      </c>
      <c r="I82" s="192">
        <f>IFERROR(H82/G82-1,"-")</f>
        <v>1.7059236243359699E-2</v>
      </c>
      <c r="J82" s="192">
        <f t="shared" si="56"/>
        <v>8.0389525404554074E-2</v>
      </c>
      <c r="K82" s="191">
        <v>69958</v>
      </c>
      <c r="L82" s="191">
        <v>67742</v>
      </c>
      <c r="M82" s="191">
        <v>193539</v>
      </c>
      <c r="N82" s="191">
        <v>256428</v>
      </c>
      <c r="O82" s="191">
        <v>312173</v>
      </c>
      <c r="P82" s="191">
        <v>308332</v>
      </c>
      <c r="Q82" s="192">
        <f>IFERROR(P82/O82-1,"-")</f>
        <v>-1.2304074984063273E-2</v>
      </c>
      <c r="R82" s="192">
        <f t="shared" si="58"/>
        <v>0.10713817861760574</v>
      </c>
      <c r="S82" s="191">
        <v>87130</v>
      </c>
      <c r="T82" s="191">
        <v>232873</v>
      </c>
      <c r="U82" s="191">
        <v>298856</v>
      </c>
      <c r="V82" s="191">
        <v>362058</v>
      </c>
      <c r="W82" s="191">
        <v>359068</v>
      </c>
      <c r="X82" s="192">
        <f>IFERROR(W82/V82-1,"-")</f>
        <v>-8.258345347982865E-3</v>
      </c>
      <c r="Y82" s="192">
        <f>W82/W$8</f>
        <v>0.10232720379319798</v>
      </c>
    </row>
    <row r="83" spans="1:25" s="74" customFormat="1" x14ac:dyDescent="0.25">
      <c r="B83" s="194" t="s">
        <v>112</v>
      </c>
      <c r="C83" s="195">
        <v>2354</v>
      </c>
      <c r="D83" s="195">
        <v>2390</v>
      </c>
      <c r="E83" s="195">
        <v>4530</v>
      </c>
      <c r="F83" s="195">
        <v>5767</v>
      </c>
      <c r="G83" s="195">
        <v>7540</v>
      </c>
      <c r="H83" s="195">
        <v>7704</v>
      </c>
      <c r="I83" s="196">
        <f t="shared" ref="I83:I90" si="59">IFERROR(H83/G83-1,"-")</f>
        <v>2.1750663129973535E-2</v>
      </c>
      <c r="J83" s="196">
        <f t="shared" si="56"/>
        <v>1.2206734936074673E-2</v>
      </c>
      <c r="K83" s="195">
        <v>14348</v>
      </c>
      <c r="L83" s="195">
        <v>6703</v>
      </c>
      <c r="M83" s="195">
        <v>45660</v>
      </c>
      <c r="N83" s="195">
        <v>61002</v>
      </c>
      <c r="O83" s="195">
        <v>72719</v>
      </c>
      <c r="P83" s="195">
        <v>78265</v>
      </c>
      <c r="Q83" s="196">
        <f t="shared" ref="Q83:Q90" si="60">IFERROR(P83/O83-1,"-")</f>
        <v>7.6266175277437842E-2</v>
      </c>
      <c r="R83" s="196">
        <f t="shared" si="58"/>
        <v>2.7195262086020629E-2</v>
      </c>
      <c r="S83" s="195">
        <v>16702</v>
      </c>
      <c r="T83" s="195">
        <v>50190</v>
      </c>
      <c r="U83" s="195">
        <v>66769</v>
      </c>
      <c r="V83" s="195">
        <v>80259</v>
      </c>
      <c r="W83" s="195">
        <v>85969</v>
      </c>
      <c r="X83" s="196">
        <f t="shared" ref="X83:X90" si="61">IFERROR(W83/V83-1,"-")</f>
        <v>7.1144669133679672E-2</v>
      </c>
      <c r="Y83" s="196">
        <f t="shared" ref="Y83:Y90" si="62">W83/W$8</f>
        <v>2.4499446853792142E-2</v>
      </c>
    </row>
    <row r="84" spans="1:25" s="74" customFormat="1" x14ac:dyDescent="0.25">
      <c r="B84" s="194" t="s">
        <v>115</v>
      </c>
      <c r="C84" s="195">
        <v>4887</v>
      </c>
      <c r="D84" s="195">
        <v>4739</v>
      </c>
      <c r="E84" s="195">
        <v>9794</v>
      </c>
      <c r="F84" s="195">
        <v>11235</v>
      </c>
      <c r="G84" s="195">
        <v>11863</v>
      </c>
      <c r="H84" s="195">
        <v>11040</v>
      </c>
      <c r="I84" s="196">
        <f t="shared" si="59"/>
        <v>-6.9375368793728409E-2</v>
      </c>
      <c r="J84" s="196">
        <f t="shared" si="56"/>
        <v>1.7492517353876479E-2</v>
      </c>
      <c r="K84" s="195">
        <v>25551</v>
      </c>
      <c r="L84" s="195">
        <v>19966</v>
      </c>
      <c r="M84" s="195">
        <v>64520</v>
      </c>
      <c r="N84" s="195">
        <v>75671</v>
      </c>
      <c r="O84" s="195">
        <v>85108</v>
      </c>
      <c r="P84" s="195">
        <v>82815</v>
      </c>
      <c r="Q84" s="196">
        <f t="shared" si="60"/>
        <v>-2.6942238097476201E-2</v>
      </c>
      <c r="R84" s="196">
        <f t="shared" si="58"/>
        <v>2.877628096408099E-2</v>
      </c>
      <c r="S84" s="195">
        <v>30438</v>
      </c>
      <c r="T84" s="195">
        <v>74314</v>
      </c>
      <c r="U84" s="195">
        <v>86906</v>
      </c>
      <c r="V84" s="195">
        <v>96971</v>
      </c>
      <c r="W84" s="195">
        <v>93855</v>
      </c>
      <c r="X84" s="196">
        <f t="shared" si="61"/>
        <v>-3.2133318208536599E-2</v>
      </c>
      <c r="Y84" s="196">
        <f t="shared" si="62"/>
        <v>2.6746799246968812E-2</v>
      </c>
    </row>
    <row r="85" spans="1:25" x14ac:dyDescent="0.25">
      <c r="A85" s="74"/>
      <c r="B85" s="194" t="s">
        <v>118</v>
      </c>
      <c r="C85" s="195">
        <v>1534</v>
      </c>
      <c r="D85" s="195">
        <v>4038</v>
      </c>
      <c r="E85" s="195">
        <v>4906</v>
      </c>
      <c r="F85" s="195">
        <v>4559</v>
      </c>
      <c r="G85" s="195">
        <v>5066</v>
      </c>
      <c r="H85" s="195">
        <v>5148</v>
      </c>
      <c r="I85" s="196">
        <f t="shared" si="59"/>
        <v>1.6186340307935199E-2</v>
      </c>
      <c r="J85" s="196">
        <f t="shared" si="56"/>
        <v>8.1568368965358792E-3</v>
      </c>
      <c r="K85" s="195">
        <v>4860</v>
      </c>
      <c r="L85" s="195">
        <v>8281</v>
      </c>
      <c r="M85" s="195">
        <v>16360</v>
      </c>
      <c r="N85" s="195">
        <v>26786</v>
      </c>
      <c r="O85" s="195">
        <v>39965</v>
      </c>
      <c r="P85" s="195">
        <v>35460</v>
      </c>
      <c r="Q85" s="196">
        <f t="shared" si="60"/>
        <v>-0.11272363317903167</v>
      </c>
      <c r="R85" s="196">
        <f t="shared" si="58"/>
        <v>1.2321522948575884E-2</v>
      </c>
      <c r="S85" s="195">
        <v>6394</v>
      </c>
      <c r="T85" s="195">
        <v>21266</v>
      </c>
      <c r="U85" s="195">
        <v>31345</v>
      </c>
      <c r="V85" s="195">
        <v>45031</v>
      </c>
      <c r="W85" s="195">
        <v>40608</v>
      </c>
      <c r="X85" s="196">
        <f t="shared" si="61"/>
        <v>-9.8221225378072874E-2</v>
      </c>
      <c r="Y85" s="196">
        <f t="shared" si="62"/>
        <v>1.1572468422789509E-2</v>
      </c>
    </row>
    <row r="86" spans="1:25" x14ac:dyDescent="0.25">
      <c r="A86" s="74"/>
      <c r="B86" s="194" t="s">
        <v>125</v>
      </c>
      <c r="C86" s="195">
        <v>251</v>
      </c>
      <c r="D86" s="195">
        <v>519</v>
      </c>
      <c r="E86" s="195">
        <v>906</v>
      </c>
      <c r="F86" s="195">
        <v>907</v>
      </c>
      <c r="G86" s="195">
        <v>1190</v>
      </c>
      <c r="H86" s="195">
        <v>1258</v>
      </c>
      <c r="I86" s="196">
        <f t="shared" si="59"/>
        <v>5.7142857142857162E-2</v>
      </c>
      <c r="J86" s="196">
        <f t="shared" si="56"/>
        <v>1.9932596767370117E-3</v>
      </c>
      <c r="K86" s="195">
        <v>1127</v>
      </c>
      <c r="L86" s="195">
        <v>1963</v>
      </c>
      <c r="M86" s="195">
        <v>3498</v>
      </c>
      <c r="N86" s="195">
        <v>5016</v>
      </c>
      <c r="O86" s="195">
        <v>9413</v>
      </c>
      <c r="P86" s="195">
        <v>9441</v>
      </c>
      <c r="Q86" s="196">
        <f t="shared" si="60"/>
        <v>2.9746095824922936E-3</v>
      </c>
      <c r="R86" s="196">
        <f t="shared" si="58"/>
        <v>3.2805273028061175E-3</v>
      </c>
      <c r="S86" s="195">
        <v>1378</v>
      </c>
      <c r="T86" s="195">
        <v>4404</v>
      </c>
      <c r="U86" s="195">
        <v>5923</v>
      </c>
      <c r="V86" s="195">
        <v>10603</v>
      </c>
      <c r="W86" s="195">
        <v>10699</v>
      </c>
      <c r="X86" s="196">
        <f t="shared" si="61"/>
        <v>9.0540413090633987E-3</v>
      </c>
      <c r="Y86" s="196">
        <f t="shared" si="62"/>
        <v>3.0490011735476992E-3</v>
      </c>
    </row>
    <row r="87" spans="1:25" x14ac:dyDescent="0.25">
      <c r="A87" s="74"/>
      <c r="B87" s="194" t="s">
        <v>121</v>
      </c>
      <c r="C87" s="195">
        <v>206</v>
      </c>
      <c r="D87" s="195">
        <v>432</v>
      </c>
      <c r="E87" s="195">
        <v>733</v>
      </c>
      <c r="F87" s="195">
        <v>605</v>
      </c>
      <c r="G87" s="195">
        <v>686</v>
      </c>
      <c r="H87" s="195">
        <v>681</v>
      </c>
      <c r="I87" s="196">
        <f t="shared" si="59"/>
        <v>-7.2886297376093534E-3</v>
      </c>
      <c r="J87" s="196">
        <f t="shared" si="56"/>
        <v>1.0790221302527066E-3</v>
      </c>
      <c r="K87" s="195">
        <v>1505</v>
      </c>
      <c r="L87" s="195">
        <v>2725</v>
      </c>
      <c r="M87" s="195">
        <v>3288</v>
      </c>
      <c r="N87" s="195">
        <v>4621</v>
      </c>
      <c r="O87" s="195">
        <v>5897</v>
      </c>
      <c r="P87" s="195">
        <v>6255</v>
      </c>
      <c r="Q87" s="196">
        <f t="shared" si="60"/>
        <v>6.0708835000847783E-2</v>
      </c>
      <c r="R87" s="196">
        <f t="shared" si="58"/>
        <v>2.1734666114873705E-3</v>
      </c>
      <c r="S87" s="195">
        <v>1711</v>
      </c>
      <c r="T87" s="195">
        <v>4021</v>
      </c>
      <c r="U87" s="195">
        <v>5226</v>
      </c>
      <c r="V87" s="195">
        <v>6583</v>
      </c>
      <c r="W87" s="195">
        <v>6936</v>
      </c>
      <c r="X87" s="196">
        <f t="shared" si="61"/>
        <v>5.3622968251556991E-2</v>
      </c>
      <c r="Y87" s="196">
        <f t="shared" si="62"/>
        <v>1.9766213795426525E-3</v>
      </c>
    </row>
    <row r="88" spans="1:25" x14ac:dyDescent="0.25">
      <c r="A88" s="74"/>
      <c r="B88" s="194" t="s">
        <v>130</v>
      </c>
      <c r="C88" s="195">
        <v>282</v>
      </c>
      <c r="D88" s="195">
        <v>161</v>
      </c>
      <c r="E88" s="195">
        <v>315</v>
      </c>
      <c r="F88" s="195">
        <v>333</v>
      </c>
      <c r="G88" s="195">
        <v>375</v>
      </c>
      <c r="H88" s="195">
        <v>396</v>
      </c>
      <c r="I88" s="196">
        <f t="shared" si="59"/>
        <v>5.600000000000005E-2</v>
      </c>
      <c r="J88" s="196">
        <f t="shared" si="56"/>
        <v>6.2744899204122148E-4</v>
      </c>
      <c r="K88" s="195">
        <v>1418</v>
      </c>
      <c r="L88" s="195">
        <v>282</v>
      </c>
      <c r="M88" s="195">
        <v>1933</v>
      </c>
      <c r="N88" s="195">
        <v>2480</v>
      </c>
      <c r="O88" s="195">
        <v>2401</v>
      </c>
      <c r="P88" s="195">
        <v>2510</v>
      </c>
      <c r="Q88" s="196">
        <f t="shared" si="60"/>
        <v>4.5397750937109516E-2</v>
      </c>
      <c r="R88" s="196">
        <f t="shared" si="58"/>
        <v>8.7216645800692238E-4</v>
      </c>
      <c r="S88" s="195">
        <v>1700</v>
      </c>
      <c r="T88" s="195">
        <v>2248</v>
      </c>
      <c r="U88" s="195">
        <v>2813</v>
      </c>
      <c r="V88" s="195">
        <v>2776</v>
      </c>
      <c r="W88" s="195">
        <v>2906</v>
      </c>
      <c r="X88" s="196">
        <f t="shared" si="61"/>
        <v>4.6829971181556296E-2</v>
      </c>
      <c r="Y88" s="196">
        <f t="shared" si="62"/>
        <v>8.2815192170573079E-4</v>
      </c>
    </row>
    <row r="89" spans="1:25" x14ac:dyDescent="0.25">
      <c r="A89" s="74"/>
      <c r="B89" s="194" t="s">
        <v>133</v>
      </c>
      <c r="C89" s="195">
        <v>390</v>
      </c>
      <c r="D89" s="195">
        <v>170</v>
      </c>
      <c r="E89" s="195">
        <v>454</v>
      </c>
      <c r="F89" s="195">
        <v>467</v>
      </c>
      <c r="G89" s="195">
        <v>417</v>
      </c>
      <c r="H89" s="195">
        <v>510</v>
      </c>
      <c r="I89" s="196">
        <f t="shared" si="59"/>
        <v>0.2230215827338129</v>
      </c>
      <c r="J89" s="196">
        <f t="shared" si="56"/>
        <v>8.0807824732581559E-4</v>
      </c>
      <c r="K89" s="195">
        <v>1915</v>
      </c>
      <c r="L89" s="195">
        <v>286</v>
      </c>
      <c r="M89" s="195">
        <v>1829</v>
      </c>
      <c r="N89" s="195">
        <v>2565</v>
      </c>
      <c r="O89" s="195">
        <v>2963</v>
      </c>
      <c r="P89" s="195">
        <v>1864</v>
      </c>
      <c r="Q89" s="196">
        <f t="shared" si="60"/>
        <v>-0.37090786365170436</v>
      </c>
      <c r="R89" s="196">
        <f t="shared" si="58"/>
        <v>6.4769652499000136E-4</v>
      </c>
      <c r="S89" s="195">
        <v>2305</v>
      </c>
      <c r="T89" s="195">
        <v>2283</v>
      </c>
      <c r="U89" s="195">
        <v>3032</v>
      </c>
      <c r="V89" s="195">
        <v>3380</v>
      </c>
      <c r="W89" s="195">
        <v>2374</v>
      </c>
      <c r="X89" s="196">
        <f t="shared" si="61"/>
        <v>-0.29763313609467457</v>
      </c>
      <c r="Y89" s="196">
        <f t="shared" si="62"/>
        <v>6.7654255407068303E-4</v>
      </c>
    </row>
    <row r="90" spans="1:25" x14ac:dyDescent="0.25">
      <c r="A90" s="74"/>
      <c r="B90" s="199" t="s">
        <v>147</v>
      </c>
      <c r="C90" s="200">
        <f t="shared" ref="C90" si="63">C82-SUM(C83:C89)</f>
        <v>7268</v>
      </c>
      <c r="D90" s="200">
        <f t="shared" ref="D90:H90" si="64">D82-SUM(D83:D89)</f>
        <v>8888</v>
      </c>
      <c r="E90" s="200">
        <f t="shared" si="64"/>
        <v>17696</v>
      </c>
      <c r="F90" s="200">
        <f t="shared" si="64"/>
        <v>18555</v>
      </c>
      <c r="G90" s="200">
        <f t="shared" si="64"/>
        <v>22748</v>
      </c>
      <c r="H90" s="200">
        <f t="shared" si="64"/>
        <v>23999</v>
      </c>
      <c r="I90" s="201">
        <f t="shared" si="59"/>
        <v>5.4993845612801184E-2</v>
      </c>
      <c r="J90" s="201">
        <f t="shared" si="56"/>
        <v>3.8025627171710291E-2</v>
      </c>
      <c r="K90" s="200">
        <f t="shared" ref="K90:P90" si="65">K82-SUM(K83:K89)</f>
        <v>19234</v>
      </c>
      <c r="L90" s="200">
        <f t="shared" si="65"/>
        <v>27536</v>
      </c>
      <c r="M90" s="200">
        <f t="shared" si="65"/>
        <v>56451</v>
      </c>
      <c r="N90" s="200">
        <f t="shared" si="65"/>
        <v>78287</v>
      </c>
      <c r="O90" s="200">
        <f t="shared" si="65"/>
        <v>93707</v>
      </c>
      <c r="P90" s="200">
        <f t="shared" si="65"/>
        <v>91722</v>
      </c>
      <c r="Q90" s="201">
        <f t="shared" si="60"/>
        <v>-2.1183049291941924E-2</v>
      </c>
      <c r="R90" s="201">
        <f t="shared" si="58"/>
        <v>3.1871255721637827E-2</v>
      </c>
      <c r="S90" s="200">
        <f>S82-SUM(S83:S89)</f>
        <v>26502</v>
      </c>
      <c r="T90" s="200">
        <f>T82-SUM(T83:T89)</f>
        <v>74147</v>
      </c>
      <c r="U90" s="200">
        <f>U82-SUM(U83:U89)</f>
        <v>96842</v>
      </c>
      <c r="V90" s="200">
        <f>V82-SUM(V83:V89)</f>
        <v>116455</v>
      </c>
      <c r="W90" s="200">
        <f>W82-SUM(W83:W89)</f>
        <v>115721</v>
      </c>
      <c r="X90" s="201">
        <f t="shared" si="61"/>
        <v>-6.3028637671203036E-3</v>
      </c>
      <c r="Y90" s="201">
        <f t="shared" si="62"/>
        <v>3.2978172240780756E-2</v>
      </c>
    </row>
    <row r="91" spans="1:25" x14ac:dyDescent="0.25">
      <c r="A91" s="74"/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</row>
    <row r="92" spans="1:25" x14ac:dyDescent="0.25">
      <c r="A92" s="74"/>
      <c r="B92" s="187" t="s">
        <v>70</v>
      </c>
      <c r="C92" s="209">
        <f t="shared" ref="C92:H92" si="66">C93+C96</f>
        <v>4061</v>
      </c>
      <c r="D92" s="209">
        <f t="shared" si="66"/>
        <v>0</v>
      </c>
      <c r="E92" s="209">
        <f t="shared" si="66"/>
        <v>3393</v>
      </c>
      <c r="F92" s="209">
        <f t="shared" si="66"/>
        <v>5194</v>
      </c>
      <c r="G92" s="209">
        <f t="shared" si="66"/>
        <v>6178</v>
      </c>
      <c r="H92" s="209">
        <f t="shared" si="66"/>
        <v>6765</v>
      </c>
      <c r="I92" s="210">
        <f>IFERROR(H92/G92-1,"-")</f>
        <v>9.5014567821301466E-2</v>
      </c>
      <c r="J92" s="210">
        <f t="shared" ref="J92:J104" si="67">H92/H$8</f>
        <v>1.0718920280704201E-2</v>
      </c>
      <c r="K92" s="209">
        <f t="shared" ref="K92:P92" si="68">K93+K96</f>
        <v>8693</v>
      </c>
      <c r="L92" s="209">
        <f t="shared" si="68"/>
        <v>0</v>
      </c>
      <c r="M92" s="209">
        <f t="shared" si="68"/>
        <v>25644</v>
      </c>
      <c r="N92" s="209">
        <f t="shared" si="68"/>
        <v>34429</v>
      </c>
      <c r="O92" s="209">
        <f t="shared" si="68"/>
        <v>40518</v>
      </c>
      <c r="P92" s="209">
        <f t="shared" si="68"/>
        <v>39638</v>
      </c>
      <c r="Q92" s="210">
        <f>IFERROR(P92/O92-1,"-")</f>
        <v>-2.1718742287378467E-2</v>
      </c>
      <c r="R92" s="210">
        <f t="shared" ref="R92:R104" si="69">P92/P$8</f>
        <v>1.3773280502979438E-2</v>
      </c>
      <c r="S92" s="209">
        <f>S93+S96</f>
        <v>19059</v>
      </c>
      <c r="T92" s="209">
        <f>T93+T96</f>
        <v>41481</v>
      </c>
      <c r="U92" s="209">
        <f>U93+U96</f>
        <v>48608</v>
      </c>
      <c r="V92" s="209">
        <f>V93+V96</f>
        <v>46696</v>
      </c>
      <c r="W92" s="209">
        <f>W93+W96</f>
        <v>46403</v>
      </c>
      <c r="X92" s="210">
        <f>IFERROR(W92/V92-1,"-")</f>
        <v>-6.2746273770772909E-3</v>
      </c>
      <c r="Y92" s="210">
        <f>W92/W$8</f>
        <v>1.3223927605956995E-2</v>
      </c>
    </row>
    <row r="93" spans="1:25" x14ac:dyDescent="0.25">
      <c r="A93" s="74"/>
      <c r="B93" s="190" t="s">
        <v>99</v>
      </c>
      <c r="C93" s="191">
        <v>2731</v>
      </c>
      <c r="D93" s="191">
        <v>0</v>
      </c>
      <c r="E93" s="191">
        <v>2663</v>
      </c>
      <c r="F93" s="191">
        <v>3564</v>
      </c>
      <c r="G93" s="191">
        <v>4493</v>
      </c>
      <c r="H93" s="191">
        <v>4917</v>
      </c>
      <c r="I93" s="192">
        <f>IFERROR(H93/G93-1,"-")</f>
        <v>9.4369018473180466E-2</v>
      </c>
      <c r="J93" s="192">
        <f t="shared" si="67"/>
        <v>7.7908249845118332E-3</v>
      </c>
      <c r="K93" s="191">
        <v>4723</v>
      </c>
      <c r="L93" s="191">
        <v>0</v>
      </c>
      <c r="M93" s="191">
        <v>17928</v>
      </c>
      <c r="N93" s="191">
        <v>22563</v>
      </c>
      <c r="O93" s="191">
        <v>24822</v>
      </c>
      <c r="P93" s="191">
        <v>24573</v>
      </c>
      <c r="Q93" s="192">
        <f>IFERROR(P93/O93-1,"-")</f>
        <v>-1.0031423737007494E-2</v>
      </c>
      <c r="R93" s="192">
        <f t="shared" si="69"/>
        <v>8.5385443715554205E-3</v>
      </c>
      <c r="S93" s="191">
        <v>12382</v>
      </c>
      <c r="T93" s="191">
        <v>27294</v>
      </c>
      <c r="U93" s="191">
        <v>32685</v>
      </c>
      <c r="V93" s="191">
        <v>29315</v>
      </c>
      <c r="W93" s="191">
        <v>29490</v>
      </c>
      <c r="X93" s="192">
        <f>IFERROR(W93/V93-1,"-")</f>
        <v>5.969640115981667E-3</v>
      </c>
      <c r="Y93" s="192">
        <f>W93/W$8</f>
        <v>8.4040606232284928E-3</v>
      </c>
    </row>
    <row r="94" spans="1:25" x14ac:dyDescent="0.25">
      <c r="A94" s="74"/>
      <c r="B94" s="194" t="s">
        <v>105</v>
      </c>
      <c r="C94" s="195">
        <v>2063</v>
      </c>
      <c r="D94" s="195">
        <v>0</v>
      </c>
      <c r="E94" s="195">
        <v>1960</v>
      </c>
      <c r="F94" s="195">
        <v>2505</v>
      </c>
      <c r="G94" s="195">
        <v>3234</v>
      </c>
      <c r="H94" s="195">
        <v>3138</v>
      </c>
      <c r="I94" s="196">
        <f>IFERROR(H94/G94-1,"-")</f>
        <v>-2.9684601113172504E-2</v>
      </c>
      <c r="J94" s="196">
        <f t="shared" si="67"/>
        <v>4.972057921781195E-3</v>
      </c>
      <c r="K94" s="195">
        <v>2176</v>
      </c>
      <c r="L94" s="195">
        <v>0</v>
      </c>
      <c r="M94" s="195">
        <v>7721</v>
      </c>
      <c r="N94" s="195">
        <v>5043</v>
      </c>
      <c r="O94" s="195">
        <v>5933</v>
      </c>
      <c r="P94" s="195">
        <v>7386</v>
      </c>
      <c r="Q94" s="196">
        <f>IFERROR(P94/O94-1,"-")</f>
        <v>0.24490139895499752</v>
      </c>
      <c r="R94" s="196">
        <f t="shared" si="69"/>
        <v>2.5664627326052306E-3</v>
      </c>
      <c r="S94" s="195">
        <v>6489</v>
      </c>
      <c r="T94" s="195">
        <v>12915</v>
      </c>
      <c r="U94" s="195">
        <v>10196</v>
      </c>
      <c r="V94" s="195">
        <v>9167</v>
      </c>
      <c r="W94" s="195">
        <v>10910</v>
      </c>
      <c r="X94" s="196">
        <f>IFERROR(W94/V94-1,"-")</f>
        <v>0.19013854041671219</v>
      </c>
      <c r="Y94" s="196">
        <f>W94/W$8</f>
        <v>3.1091319565758851E-3</v>
      </c>
    </row>
    <row r="95" spans="1:25" x14ac:dyDescent="0.25">
      <c r="A95" s="74"/>
      <c r="B95" s="194" t="s">
        <v>102</v>
      </c>
      <c r="C95" s="195">
        <v>668</v>
      </c>
      <c r="D95" s="195">
        <v>0</v>
      </c>
      <c r="E95" s="195">
        <v>703</v>
      </c>
      <c r="F95" s="195">
        <v>1059</v>
      </c>
      <c r="G95" s="195">
        <v>1259</v>
      </c>
      <c r="H95" s="195">
        <v>1177</v>
      </c>
      <c r="I95" s="196">
        <f>IFERROR(H95/G95-1,"-")</f>
        <v>-6.5131056393963438E-2</v>
      </c>
      <c r="J95" s="196">
        <f t="shared" si="67"/>
        <v>1.8649178374558527E-3</v>
      </c>
      <c r="K95" s="195">
        <v>2547</v>
      </c>
      <c r="L95" s="195">
        <v>0</v>
      </c>
      <c r="M95" s="195">
        <v>10207</v>
      </c>
      <c r="N95" s="195">
        <v>17520</v>
      </c>
      <c r="O95" s="195">
        <v>18889</v>
      </c>
      <c r="P95" s="195">
        <v>17187</v>
      </c>
      <c r="Q95" s="196">
        <f>IFERROR(P95/O95-1,"-")</f>
        <v>-9.0105352321456889E-2</v>
      </c>
      <c r="R95" s="196">
        <f t="shared" si="69"/>
        <v>5.9720816389501894E-3</v>
      </c>
      <c r="S95" s="195">
        <v>5893</v>
      </c>
      <c r="T95" s="195">
        <v>14379</v>
      </c>
      <c r="U95" s="195">
        <v>22489</v>
      </c>
      <c r="V95" s="195">
        <v>20148</v>
      </c>
      <c r="W95" s="195">
        <v>18580</v>
      </c>
      <c r="X95" s="196">
        <f>IFERROR(W95/V95-1,"-")</f>
        <v>-7.7824101647806287E-2</v>
      </c>
      <c r="Y95" s="196">
        <f>W95/W$8</f>
        <v>5.2949286666526081E-3</v>
      </c>
    </row>
    <row r="96" spans="1:25" x14ac:dyDescent="0.25">
      <c r="A96" s="74"/>
      <c r="B96" s="190" t="s">
        <v>109</v>
      </c>
      <c r="C96" s="191">
        <v>1330</v>
      </c>
      <c r="D96" s="191">
        <v>0</v>
      </c>
      <c r="E96" s="191">
        <v>730</v>
      </c>
      <c r="F96" s="191">
        <v>1630</v>
      </c>
      <c r="G96" s="191">
        <v>1685</v>
      </c>
      <c r="H96" s="191">
        <v>1848</v>
      </c>
      <c r="I96" s="192">
        <f>IFERROR(H96/G96-1,"-")</f>
        <v>9.6735905044510462E-2</v>
      </c>
      <c r="J96" s="192">
        <f t="shared" si="67"/>
        <v>2.928095296192367E-3</v>
      </c>
      <c r="K96" s="191">
        <v>3970</v>
      </c>
      <c r="L96" s="191">
        <v>0</v>
      </c>
      <c r="M96" s="191">
        <v>7716</v>
      </c>
      <c r="N96" s="191">
        <v>11866</v>
      </c>
      <c r="O96" s="191">
        <v>15696</v>
      </c>
      <c r="P96" s="191">
        <v>15065</v>
      </c>
      <c r="Q96" s="192">
        <f>IFERROR(P96/O96-1,"-")</f>
        <v>-4.0201325178389369E-2</v>
      </c>
      <c r="R96" s="192">
        <f t="shared" si="69"/>
        <v>5.2347361314240186E-3</v>
      </c>
      <c r="S96" s="191">
        <v>6677</v>
      </c>
      <c r="T96" s="191">
        <v>14187</v>
      </c>
      <c r="U96" s="191">
        <v>15923</v>
      </c>
      <c r="V96" s="191">
        <v>17381</v>
      </c>
      <c r="W96" s="191">
        <v>16913</v>
      </c>
      <c r="X96" s="192">
        <f>IFERROR(W96/V96-1,"-")</f>
        <v>-2.6925953627524257E-2</v>
      </c>
      <c r="Y96" s="192">
        <f>W96/W$8</f>
        <v>4.8198669827285009E-3</v>
      </c>
    </row>
    <row r="97" spans="1:25" s="74" customFormat="1" x14ac:dyDescent="0.25">
      <c r="B97" s="194" t="s">
        <v>112</v>
      </c>
      <c r="C97" s="195">
        <v>79</v>
      </c>
      <c r="D97" s="195">
        <v>0</v>
      </c>
      <c r="E97" s="195">
        <v>23</v>
      </c>
      <c r="F97" s="195">
        <v>105</v>
      </c>
      <c r="G97" s="195">
        <v>147</v>
      </c>
      <c r="H97" s="195">
        <v>101</v>
      </c>
      <c r="I97" s="196">
        <f t="shared" ref="I97:I104" si="70">IFERROR(H97/G97-1,"-")</f>
        <v>-0.31292517006802723</v>
      </c>
      <c r="J97" s="196">
        <f t="shared" si="67"/>
        <v>1.6003118231354386E-4</v>
      </c>
      <c r="K97" s="195">
        <v>915</v>
      </c>
      <c r="L97" s="195">
        <v>0</v>
      </c>
      <c r="M97" s="195">
        <v>898</v>
      </c>
      <c r="N97" s="195">
        <v>1780</v>
      </c>
      <c r="O97" s="195">
        <v>2303</v>
      </c>
      <c r="P97" s="195">
        <v>1945</v>
      </c>
      <c r="Q97" s="196">
        <f t="shared" ref="Q97:Q104" si="71">IFERROR(P97/O97-1,"-")</f>
        <v>-0.15544941380807642</v>
      </c>
      <c r="R97" s="196">
        <f t="shared" si="69"/>
        <v>6.7584213578624072E-4</v>
      </c>
      <c r="S97" s="195">
        <v>1092</v>
      </c>
      <c r="T97" s="195">
        <v>1836</v>
      </c>
      <c r="U97" s="195">
        <v>2198</v>
      </c>
      <c r="V97" s="195">
        <v>2450</v>
      </c>
      <c r="W97" s="195">
        <v>2046</v>
      </c>
      <c r="X97" s="196">
        <f t="shared" ref="X97:X104" si="72">IFERROR(W97/V97-1,"-")</f>
        <v>-0.16489795918367345</v>
      </c>
      <c r="Y97" s="196">
        <f t="shared" ref="Y97:Y104" si="73">W97/W$8</f>
        <v>5.8306910936336035E-4</v>
      </c>
    </row>
    <row r="98" spans="1:25" s="74" customFormat="1" x14ac:dyDescent="0.25">
      <c r="B98" s="194" t="s">
        <v>115</v>
      </c>
      <c r="C98" s="195">
        <v>299</v>
      </c>
      <c r="D98" s="195">
        <v>0</v>
      </c>
      <c r="E98" s="195">
        <v>92</v>
      </c>
      <c r="F98" s="195">
        <v>197</v>
      </c>
      <c r="G98" s="195">
        <v>278</v>
      </c>
      <c r="H98" s="195">
        <v>255</v>
      </c>
      <c r="I98" s="196">
        <f t="shared" si="70"/>
        <v>-8.2733812949640329E-2</v>
      </c>
      <c r="J98" s="196">
        <f t="shared" si="67"/>
        <v>4.0403912366290779E-4</v>
      </c>
      <c r="K98" s="195">
        <v>772</v>
      </c>
      <c r="L98" s="195">
        <v>0</v>
      </c>
      <c r="M98" s="195">
        <v>1492</v>
      </c>
      <c r="N98" s="195">
        <v>2353</v>
      </c>
      <c r="O98" s="195">
        <v>3037</v>
      </c>
      <c r="P98" s="195">
        <v>2748</v>
      </c>
      <c r="Q98" s="196">
        <f t="shared" si="71"/>
        <v>-9.5159697069476468E-2</v>
      </c>
      <c r="R98" s="196">
        <f t="shared" si="69"/>
        <v>9.5486590701315648E-4</v>
      </c>
      <c r="S98" s="195">
        <v>1239</v>
      </c>
      <c r="T98" s="195">
        <v>2714</v>
      </c>
      <c r="U98" s="195">
        <v>2893</v>
      </c>
      <c r="V98" s="195">
        <v>3315</v>
      </c>
      <c r="W98" s="195">
        <v>3003</v>
      </c>
      <c r="X98" s="196">
        <f t="shared" si="72"/>
        <v>-9.4117647058823528E-2</v>
      </c>
      <c r="Y98" s="196">
        <f t="shared" si="73"/>
        <v>8.5579498309783534E-4</v>
      </c>
    </row>
    <row r="99" spans="1:25" x14ac:dyDescent="0.25">
      <c r="A99" s="74"/>
      <c r="B99" s="194" t="s">
        <v>118</v>
      </c>
      <c r="C99" s="195">
        <v>539</v>
      </c>
      <c r="D99" s="195">
        <v>0</v>
      </c>
      <c r="E99" s="195">
        <v>199</v>
      </c>
      <c r="F99" s="195">
        <v>619</v>
      </c>
      <c r="G99" s="195">
        <v>454</v>
      </c>
      <c r="H99" s="195">
        <v>578</v>
      </c>
      <c r="I99" s="196">
        <f t="shared" si="70"/>
        <v>0.27312775330396466</v>
      </c>
      <c r="J99" s="196">
        <f t="shared" si="67"/>
        <v>9.1582201363592426E-4</v>
      </c>
      <c r="K99" s="195">
        <v>622</v>
      </c>
      <c r="L99" s="195">
        <v>0</v>
      </c>
      <c r="M99" s="195">
        <v>1471</v>
      </c>
      <c r="N99" s="195">
        <v>1996</v>
      </c>
      <c r="O99" s="195">
        <v>2584</v>
      </c>
      <c r="P99" s="195">
        <v>2446</v>
      </c>
      <c r="Q99" s="196">
        <f t="shared" si="71"/>
        <v>-5.3405572755417907E-2</v>
      </c>
      <c r="R99" s="196">
        <f t="shared" si="69"/>
        <v>8.4992795071112842E-4</v>
      </c>
      <c r="S99" s="195">
        <v>1648</v>
      </c>
      <c r="T99" s="195">
        <v>2766</v>
      </c>
      <c r="U99" s="195">
        <v>3129</v>
      </c>
      <c r="V99" s="195">
        <v>3038</v>
      </c>
      <c r="W99" s="195">
        <v>3024</v>
      </c>
      <c r="X99" s="196">
        <f t="shared" si="72"/>
        <v>-4.6082949308755561E-3</v>
      </c>
      <c r="Y99" s="196">
        <f t="shared" si="73"/>
        <v>8.6177956339921879E-4</v>
      </c>
    </row>
    <row r="100" spans="1:25" x14ac:dyDescent="0.25">
      <c r="A100" s="74"/>
      <c r="B100" s="194" t="s">
        <v>125</v>
      </c>
      <c r="C100" s="195">
        <v>55</v>
      </c>
      <c r="D100" s="195">
        <v>0</v>
      </c>
      <c r="E100" s="195">
        <v>17</v>
      </c>
      <c r="F100" s="195">
        <v>38</v>
      </c>
      <c r="G100" s="195">
        <v>64</v>
      </c>
      <c r="H100" s="195">
        <v>46</v>
      </c>
      <c r="I100" s="196">
        <f t="shared" si="70"/>
        <v>-0.28125</v>
      </c>
      <c r="J100" s="196">
        <f t="shared" si="67"/>
        <v>7.2885488974485323E-5</v>
      </c>
      <c r="K100" s="195">
        <v>210</v>
      </c>
      <c r="L100" s="195">
        <v>0</v>
      </c>
      <c r="M100" s="195">
        <v>539</v>
      </c>
      <c r="N100" s="195">
        <v>589</v>
      </c>
      <c r="O100" s="195">
        <v>716</v>
      </c>
      <c r="P100" s="195">
        <v>674</v>
      </c>
      <c r="Q100" s="196">
        <f t="shared" si="71"/>
        <v>-5.8659217877094938E-2</v>
      </c>
      <c r="R100" s="196">
        <f t="shared" si="69"/>
        <v>2.3419927995883095E-4</v>
      </c>
      <c r="S100" s="195">
        <v>284</v>
      </c>
      <c r="T100" s="195">
        <v>958</v>
      </c>
      <c r="U100" s="195">
        <v>711</v>
      </c>
      <c r="V100" s="195">
        <v>780</v>
      </c>
      <c r="W100" s="195">
        <v>720</v>
      </c>
      <c r="X100" s="196">
        <f t="shared" si="72"/>
        <v>-7.6923076923076872E-2</v>
      </c>
      <c r="Y100" s="196">
        <f t="shared" si="73"/>
        <v>2.0518561033314734E-4</v>
      </c>
    </row>
    <row r="101" spans="1:25" x14ac:dyDescent="0.25">
      <c r="A101" s="74"/>
      <c r="B101" s="194" t="s">
        <v>121</v>
      </c>
      <c r="C101" s="195">
        <v>30</v>
      </c>
      <c r="D101" s="195">
        <v>0</v>
      </c>
      <c r="E101" s="195">
        <v>7</v>
      </c>
      <c r="F101" s="195">
        <v>61</v>
      </c>
      <c r="G101" s="195">
        <v>38</v>
      </c>
      <c r="H101" s="195">
        <v>53</v>
      </c>
      <c r="I101" s="196">
        <f t="shared" si="70"/>
        <v>0.39473684210526305</v>
      </c>
      <c r="J101" s="196">
        <f t="shared" si="67"/>
        <v>8.3976759035820047E-5</v>
      </c>
      <c r="K101" s="195">
        <v>102</v>
      </c>
      <c r="L101" s="195">
        <v>0</v>
      </c>
      <c r="M101" s="195">
        <v>303</v>
      </c>
      <c r="N101" s="195">
        <v>313</v>
      </c>
      <c r="O101" s="195">
        <v>658</v>
      </c>
      <c r="P101" s="195">
        <v>617</v>
      </c>
      <c r="Q101" s="196">
        <f t="shared" si="71"/>
        <v>-6.2310030395136828E-2</v>
      </c>
      <c r="R101" s="196">
        <f t="shared" si="69"/>
        <v>2.143931093985144E-4</v>
      </c>
      <c r="S101" s="195">
        <v>256</v>
      </c>
      <c r="T101" s="195">
        <v>560</v>
      </c>
      <c r="U101" s="195">
        <v>466</v>
      </c>
      <c r="V101" s="195">
        <v>696</v>
      </c>
      <c r="W101" s="195">
        <v>670</v>
      </c>
      <c r="X101" s="196">
        <f t="shared" si="72"/>
        <v>-3.7356321839080442E-2</v>
      </c>
      <c r="Y101" s="196">
        <f t="shared" si="73"/>
        <v>1.9093660961556766E-4</v>
      </c>
    </row>
    <row r="102" spans="1:25" x14ac:dyDescent="0.25">
      <c r="A102" s="74"/>
      <c r="B102" s="194" t="s">
        <v>130</v>
      </c>
      <c r="C102" s="195">
        <v>22</v>
      </c>
      <c r="D102" s="195">
        <v>0</v>
      </c>
      <c r="E102" s="195">
        <v>0</v>
      </c>
      <c r="F102" s="195">
        <v>9</v>
      </c>
      <c r="G102" s="195">
        <v>20</v>
      </c>
      <c r="H102" s="195">
        <v>12</v>
      </c>
      <c r="I102" s="196">
        <f t="shared" si="70"/>
        <v>-0.4</v>
      </c>
      <c r="J102" s="196">
        <f t="shared" si="67"/>
        <v>1.9013605819430953E-5</v>
      </c>
      <c r="K102" s="195">
        <v>90</v>
      </c>
      <c r="L102" s="195">
        <v>0</v>
      </c>
      <c r="M102" s="195">
        <v>77</v>
      </c>
      <c r="N102" s="195">
        <v>88</v>
      </c>
      <c r="O102" s="195">
        <v>168</v>
      </c>
      <c r="P102" s="195">
        <v>149</v>
      </c>
      <c r="Q102" s="196">
        <f t="shared" si="71"/>
        <v>-0.11309523809523814</v>
      </c>
      <c r="R102" s="196">
        <f t="shared" si="69"/>
        <v>5.1774024798020492E-5</v>
      </c>
      <c r="S102" s="195">
        <v>114</v>
      </c>
      <c r="T102" s="195">
        <v>236</v>
      </c>
      <c r="U102" s="195">
        <v>112</v>
      </c>
      <c r="V102" s="195">
        <v>188</v>
      </c>
      <c r="W102" s="195">
        <v>161</v>
      </c>
      <c r="X102" s="196">
        <f t="shared" si="72"/>
        <v>-0.1436170212765957</v>
      </c>
      <c r="Y102" s="196">
        <f t="shared" si="73"/>
        <v>4.5881782310606557E-5</v>
      </c>
    </row>
    <row r="103" spans="1:25" x14ac:dyDescent="0.25">
      <c r="A103" s="74"/>
      <c r="B103" s="194" t="s">
        <v>133</v>
      </c>
      <c r="C103" s="195">
        <v>0</v>
      </c>
      <c r="D103" s="195">
        <v>0</v>
      </c>
      <c r="E103" s="195">
        <v>0</v>
      </c>
      <c r="F103" s="195">
        <v>0</v>
      </c>
      <c r="G103" s="195">
        <v>17</v>
      </c>
      <c r="H103" s="195">
        <v>8</v>
      </c>
      <c r="I103" s="196">
        <f t="shared" si="70"/>
        <v>-0.52941176470588236</v>
      </c>
      <c r="J103" s="196">
        <f t="shared" si="67"/>
        <v>1.267573721295397E-5</v>
      </c>
      <c r="K103" s="195">
        <v>61</v>
      </c>
      <c r="L103" s="195">
        <v>0</v>
      </c>
      <c r="M103" s="195">
        <v>56</v>
      </c>
      <c r="N103" s="195">
        <v>183</v>
      </c>
      <c r="O103" s="195">
        <v>291</v>
      </c>
      <c r="P103" s="195">
        <v>169</v>
      </c>
      <c r="Q103" s="196">
        <f t="shared" si="71"/>
        <v>-0.41924398625429549</v>
      </c>
      <c r="R103" s="196">
        <f t="shared" si="69"/>
        <v>5.8723558327956134E-5</v>
      </c>
      <c r="S103" s="195">
        <v>70</v>
      </c>
      <c r="T103" s="195">
        <v>125</v>
      </c>
      <c r="U103" s="195">
        <v>206</v>
      </c>
      <c r="V103" s="195">
        <v>308</v>
      </c>
      <c r="W103" s="195">
        <v>177</v>
      </c>
      <c r="X103" s="196">
        <f t="shared" si="72"/>
        <v>-0.42532467532467533</v>
      </c>
      <c r="Y103" s="196">
        <f t="shared" si="73"/>
        <v>5.0441462540232055E-5</v>
      </c>
    </row>
    <row r="104" spans="1:25" x14ac:dyDescent="0.25">
      <c r="A104" s="74"/>
      <c r="B104" s="199" t="s">
        <v>147</v>
      </c>
      <c r="C104" s="200">
        <f t="shared" ref="C104" si="74">C96-SUM(C97:C103)</f>
        <v>306</v>
      </c>
      <c r="D104" s="200">
        <f t="shared" ref="D104:H104" si="75">D96-SUM(D97:D103)</f>
        <v>0</v>
      </c>
      <c r="E104" s="200">
        <f t="shared" si="75"/>
        <v>392</v>
      </c>
      <c r="F104" s="200">
        <f t="shared" si="75"/>
        <v>601</v>
      </c>
      <c r="G104" s="200">
        <f t="shared" si="75"/>
        <v>667</v>
      </c>
      <c r="H104" s="200">
        <f t="shared" si="75"/>
        <v>795</v>
      </c>
      <c r="I104" s="201">
        <f t="shared" si="70"/>
        <v>0.1919040479760119</v>
      </c>
      <c r="J104" s="201">
        <f t="shared" si="67"/>
        <v>1.2596513855373007E-3</v>
      </c>
      <c r="K104" s="200">
        <f t="shared" ref="K104:P104" si="76">K96-SUM(K97:K103)</f>
        <v>1198</v>
      </c>
      <c r="L104" s="200">
        <f t="shared" si="76"/>
        <v>0</v>
      </c>
      <c r="M104" s="200">
        <f t="shared" si="76"/>
        <v>2880</v>
      </c>
      <c r="N104" s="200">
        <f t="shared" si="76"/>
        <v>4564</v>
      </c>
      <c r="O104" s="200">
        <f t="shared" si="76"/>
        <v>5939</v>
      </c>
      <c r="P104" s="200">
        <f t="shared" si="76"/>
        <v>6317</v>
      </c>
      <c r="Q104" s="201">
        <f t="shared" si="71"/>
        <v>6.3647078632766529E-2</v>
      </c>
      <c r="R104" s="201">
        <f t="shared" si="69"/>
        <v>2.1950101654301707E-3</v>
      </c>
      <c r="S104" s="200">
        <f>S96-SUM(S97:S103)</f>
        <v>1974</v>
      </c>
      <c r="T104" s="200">
        <f>T96-SUM(T97:T103)</f>
        <v>4992</v>
      </c>
      <c r="U104" s="200">
        <f>U96-SUM(U97:U103)</f>
        <v>6208</v>
      </c>
      <c r="V104" s="200">
        <f>V96-SUM(V97:V103)</f>
        <v>6606</v>
      </c>
      <c r="W104" s="200">
        <f>W96-SUM(W97:W103)</f>
        <v>7112</v>
      </c>
      <c r="X104" s="201">
        <f t="shared" si="72"/>
        <v>7.6597033000302739E-2</v>
      </c>
      <c r="Y104" s="201">
        <f t="shared" si="73"/>
        <v>2.0267778620685333E-3</v>
      </c>
    </row>
    <row r="105" spans="1:25" x14ac:dyDescent="0.25">
      <c r="A105" s="74"/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</row>
    <row r="106" spans="1:25" x14ac:dyDescent="0.25">
      <c r="A106" s="74"/>
      <c r="B106" s="187" t="s">
        <v>70</v>
      </c>
      <c r="C106" s="209">
        <f t="shared" ref="C106:H106" si="77">C107+C110</f>
        <v>0</v>
      </c>
      <c r="D106" s="209">
        <f t="shared" si="77"/>
        <v>0</v>
      </c>
      <c r="E106" s="209">
        <f t="shared" si="77"/>
        <v>0</v>
      </c>
      <c r="F106" s="209">
        <f t="shared" si="77"/>
        <v>0</v>
      </c>
      <c r="G106" s="209">
        <f t="shared" si="77"/>
        <v>0</v>
      </c>
      <c r="H106" s="209">
        <f t="shared" si="77"/>
        <v>0</v>
      </c>
      <c r="I106" s="210" t="str">
        <f>IFERROR(H106/G106-1,"-")</f>
        <v>-</v>
      </c>
      <c r="J106" s="210">
        <f t="shared" ref="J106:J118" si="78">H106/H$8</f>
        <v>0</v>
      </c>
      <c r="K106" s="209">
        <f t="shared" ref="K106:P106" si="79">K107+K110</f>
        <v>22627</v>
      </c>
      <c r="L106" s="209">
        <f t="shared" si="79"/>
        <v>0</v>
      </c>
      <c r="M106" s="209">
        <f t="shared" si="79"/>
        <v>0</v>
      </c>
      <c r="N106" s="209">
        <f t="shared" si="79"/>
        <v>0</v>
      </c>
      <c r="O106" s="209">
        <f t="shared" si="79"/>
        <v>0</v>
      </c>
      <c r="P106" s="209">
        <f t="shared" si="79"/>
        <v>0</v>
      </c>
      <c r="Q106" s="210" t="str">
        <f>IFERROR(P106/O106-1,"-")</f>
        <v>-</v>
      </c>
      <c r="R106" s="210">
        <f t="shared" ref="R106:R118" si="80">P106/P$8</f>
        <v>0</v>
      </c>
      <c r="S106" s="209">
        <f>S107+S110</f>
        <v>50483</v>
      </c>
      <c r="T106" s="209">
        <f>T107+T110</f>
        <v>142029</v>
      </c>
      <c r="U106" s="209">
        <f>U107+U110</f>
        <v>186898</v>
      </c>
      <c r="V106" s="209">
        <f>V107+V110</f>
        <v>175551</v>
      </c>
      <c r="W106" s="209">
        <f>W107+W110</f>
        <v>184313</v>
      </c>
      <c r="X106" s="210">
        <f>IFERROR(W106/V106-1,"-")</f>
        <v>4.9911421752083518E-2</v>
      </c>
      <c r="Y106" s="210">
        <f>W106/W$8</f>
        <v>5.2525521385185257E-2</v>
      </c>
    </row>
    <row r="107" spans="1:25" x14ac:dyDescent="0.25">
      <c r="A107" s="74"/>
      <c r="B107" s="190" t="s">
        <v>99</v>
      </c>
      <c r="C107" s="191">
        <v>0</v>
      </c>
      <c r="D107" s="191">
        <v>0</v>
      </c>
      <c r="E107" s="191">
        <v>0</v>
      </c>
      <c r="F107" s="191">
        <v>0</v>
      </c>
      <c r="G107" s="191">
        <v>0</v>
      </c>
      <c r="H107" s="191">
        <v>0</v>
      </c>
      <c r="I107" s="192" t="str">
        <f>IFERROR(H107/G107-1,"-")</f>
        <v>-</v>
      </c>
      <c r="J107" s="192">
        <f t="shared" si="78"/>
        <v>0</v>
      </c>
      <c r="K107" s="191">
        <v>5441</v>
      </c>
      <c r="L107" s="191">
        <v>0</v>
      </c>
      <c r="M107" s="191">
        <v>0</v>
      </c>
      <c r="N107" s="191">
        <v>0</v>
      </c>
      <c r="O107" s="191">
        <v>0</v>
      </c>
      <c r="P107" s="191">
        <v>0</v>
      </c>
      <c r="Q107" s="192" t="str">
        <f>IFERROR(P107/O107-1,"-")</f>
        <v>-</v>
      </c>
      <c r="R107" s="192">
        <f t="shared" si="80"/>
        <v>0</v>
      </c>
      <c r="S107" s="191">
        <v>24639</v>
      </c>
      <c r="T107" s="191">
        <v>35155</v>
      </c>
      <c r="U107" s="191">
        <v>42777</v>
      </c>
      <c r="V107" s="191">
        <v>38573</v>
      </c>
      <c r="W107" s="191">
        <v>41587</v>
      </c>
      <c r="X107" s="192">
        <f>IFERROR(W107/V107-1,"-")</f>
        <v>7.8137557358774368E-2</v>
      </c>
      <c r="Y107" s="192">
        <f>W107/W$8</f>
        <v>1.185146385683972E-2</v>
      </c>
    </row>
    <row r="108" spans="1:25" x14ac:dyDescent="0.25">
      <c r="A108" s="74"/>
      <c r="B108" s="194" t="s">
        <v>105</v>
      </c>
      <c r="C108" s="195">
        <v>0</v>
      </c>
      <c r="D108" s="195">
        <v>0</v>
      </c>
      <c r="E108" s="195">
        <v>0</v>
      </c>
      <c r="F108" s="195">
        <v>0</v>
      </c>
      <c r="G108" s="195">
        <v>0</v>
      </c>
      <c r="H108" s="195">
        <v>0</v>
      </c>
      <c r="I108" s="196" t="str">
        <f>IFERROR(H108/G108-1,"-")</f>
        <v>-</v>
      </c>
      <c r="J108" s="196">
        <f t="shared" si="78"/>
        <v>0</v>
      </c>
      <c r="K108" s="195">
        <v>273</v>
      </c>
      <c r="L108" s="195">
        <v>0</v>
      </c>
      <c r="M108" s="195">
        <v>0</v>
      </c>
      <c r="N108" s="195">
        <v>0</v>
      </c>
      <c r="O108" s="195">
        <v>0</v>
      </c>
      <c r="P108" s="195">
        <v>0</v>
      </c>
      <c r="Q108" s="196" t="str">
        <f>IFERROR(P108/O108-1,"-")</f>
        <v>-</v>
      </c>
      <c r="R108" s="196">
        <f t="shared" si="80"/>
        <v>0</v>
      </c>
      <c r="S108" s="195">
        <v>1147</v>
      </c>
      <c r="T108" s="195">
        <v>9838</v>
      </c>
      <c r="U108" s="195">
        <v>13530</v>
      </c>
      <c r="V108" s="195">
        <v>11111</v>
      </c>
      <c r="W108" s="195">
        <v>14821</v>
      </c>
      <c r="X108" s="196">
        <f>IFERROR(W108/V108-1,"-")</f>
        <v>0.33390333903339031</v>
      </c>
      <c r="Y108" s="196">
        <f>W108/W$8</f>
        <v>4.2236887927049674E-3</v>
      </c>
    </row>
    <row r="109" spans="1:25" x14ac:dyDescent="0.25">
      <c r="A109" s="74"/>
      <c r="B109" s="194" t="s">
        <v>102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  <c r="H109" s="195">
        <v>0</v>
      </c>
      <c r="I109" s="196" t="str">
        <f>IFERROR(H109/G109-1,"-")</f>
        <v>-</v>
      </c>
      <c r="J109" s="196">
        <f t="shared" si="78"/>
        <v>0</v>
      </c>
      <c r="K109" s="195">
        <v>5168</v>
      </c>
      <c r="L109" s="195">
        <v>0</v>
      </c>
      <c r="M109" s="195">
        <v>0</v>
      </c>
      <c r="N109" s="195">
        <v>0</v>
      </c>
      <c r="O109" s="195">
        <v>0</v>
      </c>
      <c r="P109" s="195">
        <v>0</v>
      </c>
      <c r="Q109" s="196" t="str">
        <f>IFERROR(P109/O109-1,"-")</f>
        <v>-</v>
      </c>
      <c r="R109" s="196">
        <f t="shared" si="80"/>
        <v>0</v>
      </c>
      <c r="S109" s="195">
        <v>23492</v>
      </c>
      <c r="T109" s="195">
        <v>25317</v>
      </c>
      <c r="U109" s="195">
        <v>29247</v>
      </c>
      <c r="V109" s="195">
        <v>27462</v>
      </c>
      <c r="W109" s="195">
        <v>26766</v>
      </c>
      <c r="X109" s="196">
        <f>IFERROR(W109/V109-1,"-")</f>
        <v>-2.5344111863666141E-2</v>
      </c>
      <c r="Y109" s="196">
        <f>W109/W$8</f>
        <v>7.627775064134752E-3</v>
      </c>
    </row>
    <row r="110" spans="1:25" x14ac:dyDescent="0.25">
      <c r="A110" s="74"/>
      <c r="B110" s="190" t="s">
        <v>109</v>
      </c>
      <c r="C110" s="191">
        <v>0</v>
      </c>
      <c r="D110" s="191">
        <v>0</v>
      </c>
      <c r="E110" s="191">
        <v>0</v>
      </c>
      <c r="F110" s="191">
        <v>0</v>
      </c>
      <c r="G110" s="191">
        <v>0</v>
      </c>
      <c r="H110" s="191">
        <v>0</v>
      </c>
      <c r="I110" s="192" t="str">
        <f>IFERROR(H110/G110-1,"-")</f>
        <v>-</v>
      </c>
      <c r="J110" s="192">
        <f t="shared" si="78"/>
        <v>0</v>
      </c>
      <c r="K110" s="191">
        <v>17186</v>
      </c>
      <c r="L110" s="191">
        <v>0</v>
      </c>
      <c r="M110" s="191">
        <v>0</v>
      </c>
      <c r="N110" s="191">
        <v>0</v>
      </c>
      <c r="O110" s="191">
        <v>0</v>
      </c>
      <c r="P110" s="191">
        <v>0</v>
      </c>
      <c r="Q110" s="192" t="str">
        <f>IFERROR(P110/O110-1,"-")</f>
        <v>-</v>
      </c>
      <c r="R110" s="192">
        <f t="shared" si="80"/>
        <v>0</v>
      </c>
      <c r="S110" s="191">
        <v>25844</v>
      </c>
      <c r="T110" s="191">
        <v>106874</v>
      </c>
      <c r="U110" s="191">
        <v>144121</v>
      </c>
      <c r="V110" s="191">
        <v>136978</v>
      </c>
      <c r="W110" s="191">
        <v>142726</v>
      </c>
      <c r="X110" s="192">
        <f>IFERROR(W110/V110-1,"-")</f>
        <v>4.1962942954343108E-2</v>
      </c>
      <c r="Y110" s="192">
        <f>W110/W$8</f>
        <v>4.0674057528345541E-2</v>
      </c>
    </row>
    <row r="111" spans="1:25" s="74" customFormat="1" x14ac:dyDescent="0.25">
      <c r="B111" s="194" t="s">
        <v>112</v>
      </c>
      <c r="C111" s="195">
        <v>0</v>
      </c>
      <c r="D111" s="195">
        <v>0</v>
      </c>
      <c r="E111" s="195">
        <v>0</v>
      </c>
      <c r="F111" s="195">
        <v>0</v>
      </c>
      <c r="G111" s="195">
        <v>0</v>
      </c>
      <c r="H111" s="195">
        <v>0</v>
      </c>
      <c r="I111" s="196" t="str">
        <f t="shared" ref="I111:I118" si="81">IFERROR(H111/G111-1,"-")</f>
        <v>-</v>
      </c>
      <c r="J111" s="196">
        <f t="shared" si="78"/>
        <v>0</v>
      </c>
      <c r="K111" s="195">
        <v>9701</v>
      </c>
      <c r="L111" s="195">
        <v>0</v>
      </c>
      <c r="M111" s="195">
        <v>0</v>
      </c>
      <c r="N111" s="195">
        <v>0</v>
      </c>
      <c r="O111" s="195">
        <v>0</v>
      </c>
      <c r="P111" s="195">
        <v>0</v>
      </c>
      <c r="Q111" s="196" t="str">
        <f t="shared" ref="Q111:Q118" si="82">IFERROR(P111/O111-1,"-")</f>
        <v>-</v>
      </c>
      <c r="R111" s="196">
        <f t="shared" si="80"/>
        <v>0</v>
      </c>
      <c r="S111" s="195">
        <v>12927</v>
      </c>
      <c r="T111" s="195">
        <v>65016</v>
      </c>
      <c r="U111" s="195">
        <v>96402</v>
      </c>
      <c r="V111" s="195">
        <v>85963</v>
      </c>
      <c r="W111" s="195">
        <v>87643</v>
      </c>
      <c r="X111" s="196">
        <f t="shared" ref="X111:X118" si="83">IFERROR(W111/V111-1,"-")</f>
        <v>1.9543291881390923E-2</v>
      </c>
      <c r="Y111" s="196">
        <f t="shared" ref="Y111:Y118" si="84">W111/W$8</f>
        <v>2.4976503397816711E-2</v>
      </c>
    </row>
    <row r="112" spans="1:25" s="74" customFormat="1" x14ac:dyDescent="0.25">
      <c r="B112" s="194" t="s">
        <v>115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  <c r="H112" s="195">
        <v>0</v>
      </c>
      <c r="I112" s="196" t="str">
        <f t="shared" si="81"/>
        <v>-</v>
      </c>
      <c r="J112" s="196">
        <f t="shared" si="78"/>
        <v>0</v>
      </c>
      <c r="K112" s="195">
        <v>1353</v>
      </c>
      <c r="L112" s="195">
        <v>0</v>
      </c>
      <c r="M112" s="195">
        <v>0</v>
      </c>
      <c r="N112" s="195">
        <v>0</v>
      </c>
      <c r="O112" s="195">
        <v>0</v>
      </c>
      <c r="P112" s="195">
        <v>0</v>
      </c>
      <c r="Q112" s="196" t="str">
        <f t="shared" si="82"/>
        <v>-</v>
      </c>
      <c r="R112" s="196">
        <f t="shared" si="80"/>
        <v>0</v>
      </c>
      <c r="S112" s="195">
        <v>1947</v>
      </c>
      <c r="T112" s="195">
        <v>4475</v>
      </c>
      <c r="U112" s="195">
        <v>5824</v>
      </c>
      <c r="V112" s="195">
        <v>5696</v>
      </c>
      <c r="W112" s="195">
        <v>6480</v>
      </c>
      <c r="X112" s="196">
        <f t="shared" si="83"/>
        <v>0.13764044943820219</v>
      </c>
      <c r="Y112" s="196">
        <f t="shared" si="84"/>
        <v>1.8466704929983261E-3</v>
      </c>
    </row>
    <row r="113" spans="1:25" x14ac:dyDescent="0.25">
      <c r="A113" s="74"/>
      <c r="B113" s="194" t="s">
        <v>118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  <c r="H113" s="195">
        <v>0</v>
      </c>
      <c r="I113" s="196" t="str">
        <f t="shared" si="81"/>
        <v>-</v>
      </c>
      <c r="J113" s="196">
        <f t="shared" si="78"/>
        <v>0</v>
      </c>
      <c r="K113" s="195">
        <v>895</v>
      </c>
      <c r="L113" s="195">
        <v>0</v>
      </c>
      <c r="M113" s="195">
        <v>0</v>
      </c>
      <c r="N113" s="195">
        <v>0</v>
      </c>
      <c r="O113" s="195">
        <v>0</v>
      </c>
      <c r="P113" s="195">
        <v>0</v>
      </c>
      <c r="Q113" s="196" t="str">
        <f t="shared" si="82"/>
        <v>-</v>
      </c>
      <c r="R113" s="196">
        <f t="shared" si="80"/>
        <v>0</v>
      </c>
      <c r="S113" s="195">
        <v>1655</v>
      </c>
      <c r="T113" s="195">
        <v>7171</v>
      </c>
      <c r="U113" s="195">
        <v>10604</v>
      </c>
      <c r="V113" s="195">
        <v>10822</v>
      </c>
      <c r="W113" s="195">
        <v>12023</v>
      </c>
      <c r="X113" s="196">
        <f t="shared" si="83"/>
        <v>0.11097763814452044</v>
      </c>
      <c r="Y113" s="196">
        <f t="shared" si="84"/>
        <v>3.4263147125492091E-3</v>
      </c>
    </row>
    <row r="114" spans="1:25" x14ac:dyDescent="0.25">
      <c r="A114" s="74"/>
      <c r="B114" s="194" t="s">
        <v>125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  <c r="H114" s="195">
        <v>0</v>
      </c>
      <c r="I114" s="196" t="str">
        <f t="shared" si="81"/>
        <v>-</v>
      </c>
      <c r="J114" s="196">
        <f t="shared" si="78"/>
        <v>0</v>
      </c>
      <c r="K114" s="195">
        <v>429</v>
      </c>
      <c r="L114" s="195">
        <v>0</v>
      </c>
      <c r="M114" s="195">
        <v>0</v>
      </c>
      <c r="N114" s="195">
        <v>0</v>
      </c>
      <c r="O114" s="195">
        <v>0</v>
      </c>
      <c r="P114" s="195">
        <v>0</v>
      </c>
      <c r="Q114" s="196" t="str">
        <f t="shared" si="82"/>
        <v>-</v>
      </c>
      <c r="R114" s="196">
        <f t="shared" si="80"/>
        <v>0</v>
      </c>
      <c r="S114" s="195">
        <v>939</v>
      </c>
      <c r="T114" s="195">
        <v>4742</v>
      </c>
      <c r="U114" s="195">
        <v>4787</v>
      </c>
      <c r="V114" s="195">
        <v>4724</v>
      </c>
      <c r="W114" s="195">
        <v>5054</v>
      </c>
      <c r="X114" s="196">
        <f t="shared" si="83"/>
        <v>6.9856054191363315E-2</v>
      </c>
      <c r="Y114" s="196">
        <f t="shared" si="84"/>
        <v>1.4402889925329537E-3</v>
      </c>
    </row>
    <row r="115" spans="1:25" x14ac:dyDescent="0.25">
      <c r="A115" s="74"/>
      <c r="B115" s="194" t="s">
        <v>121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  <c r="H115" s="195">
        <v>0</v>
      </c>
      <c r="I115" s="196" t="str">
        <f t="shared" si="81"/>
        <v>-</v>
      </c>
      <c r="J115" s="196">
        <f t="shared" si="78"/>
        <v>0</v>
      </c>
      <c r="K115" s="195">
        <v>623</v>
      </c>
      <c r="L115" s="195">
        <v>0</v>
      </c>
      <c r="M115" s="195">
        <v>0</v>
      </c>
      <c r="N115" s="195">
        <v>0</v>
      </c>
      <c r="O115" s="195">
        <v>0</v>
      </c>
      <c r="P115" s="195">
        <v>0</v>
      </c>
      <c r="Q115" s="196" t="str">
        <f t="shared" si="82"/>
        <v>-</v>
      </c>
      <c r="R115" s="196">
        <f t="shared" si="80"/>
        <v>0</v>
      </c>
      <c r="S115" s="195">
        <v>2434</v>
      </c>
      <c r="T115" s="195">
        <v>3767</v>
      </c>
      <c r="U115" s="195">
        <v>4010</v>
      </c>
      <c r="V115" s="195">
        <v>3847</v>
      </c>
      <c r="W115" s="195">
        <v>3672</v>
      </c>
      <c r="X115" s="196">
        <f t="shared" si="83"/>
        <v>-4.5489992201715568E-2</v>
      </c>
      <c r="Y115" s="196">
        <f t="shared" si="84"/>
        <v>1.0464466126990514E-3</v>
      </c>
    </row>
    <row r="116" spans="1:25" x14ac:dyDescent="0.25">
      <c r="A116" s="74"/>
      <c r="B116" s="194" t="s">
        <v>130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  <c r="H116" s="195">
        <v>0</v>
      </c>
      <c r="I116" s="196" t="str">
        <f t="shared" si="81"/>
        <v>-</v>
      </c>
      <c r="J116" s="196">
        <f t="shared" si="78"/>
        <v>0</v>
      </c>
      <c r="K116" s="195">
        <v>206</v>
      </c>
      <c r="L116" s="195">
        <v>0</v>
      </c>
      <c r="M116" s="195">
        <v>0</v>
      </c>
      <c r="N116" s="195">
        <v>0</v>
      </c>
      <c r="O116" s="195">
        <v>0</v>
      </c>
      <c r="P116" s="195">
        <v>0</v>
      </c>
      <c r="Q116" s="196" t="str">
        <f t="shared" si="82"/>
        <v>-</v>
      </c>
      <c r="R116" s="196">
        <f t="shared" si="80"/>
        <v>0</v>
      </c>
      <c r="S116" s="195">
        <v>223</v>
      </c>
      <c r="T116" s="195">
        <v>839</v>
      </c>
      <c r="U116" s="195">
        <v>884</v>
      </c>
      <c r="V116" s="195">
        <v>877</v>
      </c>
      <c r="W116" s="195">
        <v>907</v>
      </c>
      <c r="X116" s="196">
        <f t="shared" si="83"/>
        <v>3.4207525655644222E-2</v>
      </c>
      <c r="Y116" s="196">
        <f t="shared" si="84"/>
        <v>2.5847687301689532E-4</v>
      </c>
    </row>
    <row r="117" spans="1:25" x14ac:dyDescent="0.25">
      <c r="A117" s="74"/>
      <c r="B117" s="194" t="s">
        <v>133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  <c r="H117" s="195">
        <v>0</v>
      </c>
      <c r="I117" s="196" t="str">
        <f t="shared" si="81"/>
        <v>-</v>
      </c>
      <c r="J117" s="196">
        <f t="shared" si="78"/>
        <v>0</v>
      </c>
      <c r="K117" s="195">
        <v>526</v>
      </c>
      <c r="L117" s="195">
        <v>0</v>
      </c>
      <c r="M117" s="195">
        <v>0</v>
      </c>
      <c r="N117" s="195">
        <v>0</v>
      </c>
      <c r="O117" s="195">
        <v>0</v>
      </c>
      <c r="P117" s="195">
        <v>0</v>
      </c>
      <c r="Q117" s="196" t="str">
        <f t="shared" si="82"/>
        <v>-</v>
      </c>
      <c r="R117" s="196">
        <f t="shared" si="80"/>
        <v>0</v>
      </c>
      <c r="S117" s="195">
        <v>542</v>
      </c>
      <c r="T117" s="195">
        <v>689</v>
      </c>
      <c r="U117" s="195">
        <v>435</v>
      </c>
      <c r="V117" s="195">
        <v>1083</v>
      </c>
      <c r="W117" s="195">
        <v>727</v>
      </c>
      <c r="X117" s="196">
        <f t="shared" si="83"/>
        <v>-0.32871652816251151</v>
      </c>
      <c r="Y117" s="196">
        <f t="shared" si="84"/>
        <v>2.071804704336085E-4</v>
      </c>
    </row>
    <row r="118" spans="1:25" x14ac:dyDescent="0.25">
      <c r="A118" s="74"/>
      <c r="B118" s="199" t="s">
        <v>147</v>
      </c>
      <c r="C118" s="200">
        <f t="shared" ref="C118" si="85">C110-SUM(C111:C117)</f>
        <v>0</v>
      </c>
      <c r="D118" s="200">
        <f t="shared" ref="D118:H118" si="86">D110-SUM(D111:D117)</f>
        <v>0</v>
      </c>
      <c r="E118" s="200">
        <f t="shared" si="86"/>
        <v>0</v>
      </c>
      <c r="F118" s="200">
        <f t="shared" si="86"/>
        <v>0</v>
      </c>
      <c r="G118" s="200">
        <f t="shared" si="86"/>
        <v>0</v>
      </c>
      <c r="H118" s="200">
        <f t="shared" si="86"/>
        <v>0</v>
      </c>
      <c r="I118" s="201" t="str">
        <f t="shared" si="81"/>
        <v>-</v>
      </c>
      <c r="J118" s="201">
        <f t="shared" si="78"/>
        <v>0</v>
      </c>
      <c r="K118" s="200">
        <f t="shared" ref="K118:P118" si="87">K110-SUM(K111:K117)</f>
        <v>3453</v>
      </c>
      <c r="L118" s="200">
        <f t="shared" si="87"/>
        <v>0</v>
      </c>
      <c r="M118" s="200">
        <f t="shared" si="87"/>
        <v>0</v>
      </c>
      <c r="N118" s="200">
        <f t="shared" si="87"/>
        <v>0</v>
      </c>
      <c r="O118" s="200">
        <f t="shared" si="87"/>
        <v>0</v>
      </c>
      <c r="P118" s="200">
        <f t="shared" si="87"/>
        <v>0</v>
      </c>
      <c r="Q118" s="201" t="str">
        <f t="shared" si="82"/>
        <v>-</v>
      </c>
      <c r="R118" s="201">
        <f t="shared" si="80"/>
        <v>0</v>
      </c>
      <c r="S118" s="200">
        <f>S110-SUM(S111:S117)</f>
        <v>5177</v>
      </c>
      <c r="T118" s="200">
        <f>T110-SUM(T111:T117)</f>
        <v>20175</v>
      </c>
      <c r="U118" s="200">
        <f>U110-SUM(U111:U117)</f>
        <v>21175</v>
      </c>
      <c r="V118" s="200">
        <f>V110-SUM(V111:V117)</f>
        <v>23966</v>
      </c>
      <c r="W118" s="200">
        <f>W110-SUM(W111:W117)</f>
        <v>26220</v>
      </c>
      <c r="X118" s="201">
        <f t="shared" si="83"/>
        <v>9.4049904030710119E-2</v>
      </c>
      <c r="Y118" s="201">
        <f t="shared" si="84"/>
        <v>7.4721759762987824E-3</v>
      </c>
    </row>
    <row r="119" spans="1:25" x14ac:dyDescent="0.25">
      <c r="A119" s="74"/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</row>
    <row r="120" spans="1:25" x14ac:dyDescent="0.25">
      <c r="A120" s="74"/>
      <c r="B120" s="187" t="s">
        <v>70</v>
      </c>
      <c r="C120" s="209">
        <f t="shared" ref="C120:H120" si="88">C121+C124</f>
        <v>37585</v>
      </c>
      <c r="D120" s="209">
        <f t="shared" si="88"/>
        <v>46026</v>
      </c>
      <c r="E120" s="209">
        <f t="shared" si="88"/>
        <v>72456</v>
      </c>
      <c r="F120" s="209">
        <f t="shared" si="88"/>
        <v>77373</v>
      </c>
      <c r="G120" s="209">
        <f t="shared" si="88"/>
        <v>81394</v>
      </c>
      <c r="H120" s="209">
        <f t="shared" si="88"/>
        <v>76373</v>
      </c>
      <c r="I120" s="210">
        <f>IFERROR(H120/G120-1,"-")</f>
        <v>-6.1687593680123887E-2</v>
      </c>
      <c r="J120" s="210">
        <f t="shared" ref="J120:J132" si="89">H120/H$8</f>
        <v>0.12101050977061668</v>
      </c>
      <c r="K120" s="209">
        <f t="shared" ref="K120:P120" si="90">K121+K124</f>
        <v>38765</v>
      </c>
      <c r="L120" s="209">
        <f t="shared" si="90"/>
        <v>77294</v>
      </c>
      <c r="M120" s="209">
        <f t="shared" si="90"/>
        <v>107459</v>
      </c>
      <c r="N120" s="209">
        <f t="shared" si="90"/>
        <v>117492</v>
      </c>
      <c r="O120" s="209">
        <f t="shared" si="90"/>
        <v>119763</v>
      </c>
      <c r="P120" s="209">
        <f t="shared" si="90"/>
        <v>151509</v>
      </c>
      <c r="Q120" s="210">
        <f>IFERROR(P120/O120-1,"-")</f>
        <v>0.26507352020239972</v>
      </c>
      <c r="R120" s="210">
        <f t="shared" ref="R120:R132" si="91">P120/P$8</f>
        <v>5.2645843779350922E-2</v>
      </c>
      <c r="S120" s="209">
        <f>S121+S124</f>
        <v>76350</v>
      </c>
      <c r="T120" s="209">
        <f>T121+T124</f>
        <v>179915</v>
      </c>
      <c r="U120" s="209">
        <f>U121+U124</f>
        <v>194865</v>
      </c>
      <c r="V120" s="209">
        <f>V121+V124</f>
        <v>201157</v>
      </c>
      <c r="W120" s="209">
        <f>W121+W124</f>
        <v>227882</v>
      </c>
      <c r="X120" s="210">
        <f>IFERROR(W120/V120-1,"-")</f>
        <v>0.13285642557803112</v>
      </c>
      <c r="Y120" s="210">
        <f>W120/W$8</f>
        <v>6.4941815630469829E-2</v>
      </c>
    </row>
    <row r="121" spans="1:25" x14ac:dyDescent="0.25">
      <c r="A121" s="74"/>
      <c r="B121" s="190" t="s">
        <v>99</v>
      </c>
      <c r="C121" s="191">
        <v>17927</v>
      </c>
      <c r="D121" s="191">
        <v>24940</v>
      </c>
      <c r="E121" s="191">
        <v>42019</v>
      </c>
      <c r="F121" s="191">
        <v>50974</v>
      </c>
      <c r="G121" s="191">
        <v>56488</v>
      </c>
      <c r="H121" s="191">
        <v>50745</v>
      </c>
      <c r="I121" s="192">
        <f>IFERROR(H121/G121-1,"-")</f>
        <v>-0.1016676108199972</v>
      </c>
      <c r="J121" s="192">
        <f t="shared" si="89"/>
        <v>8.0403785608918643E-2</v>
      </c>
      <c r="K121" s="191">
        <v>25121</v>
      </c>
      <c r="L121" s="191">
        <v>56542</v>
      </c>
      <c r="M121" s="191">
        <v>68386</v>
      </c>
      <c r="N121" s="191">
        <v>71312</v>
      </c>
      <c r="O121" s="191">
        <v>72098</v>
      </c>
      <c r="P121" s="191">
        <v>98240</v>
      </c>
      <c r="Q121" s="192">
        <f>IFERROR(P121/O121-1,"-")</f>
        <v>0.36258980831645826</v>
      </c>
      <c r="R121" s="192">
        <f t="shared" si="91"/>
        <v>3.4136108699043849E-2</v>
      </c>
      <c r="S121" s="191">
        <v>43048</v>
      </c>
      <c r="T121" s="191">
        <v>110405</v>
      </c>
      <c r="U121" s="191">
        <v>122286</v>
      </c>
      <c r="V121" s="191">
        <v>128586</v>
      </c>
      <c r="W121" s="191">
        <v>148985</v>
      </c>
      <c r="X121" s="192">
        <f>IFERROR(W121/V121-1,"-")</f>
        <v>0.15864090958580257</v>
      </c>
      <c r="Y121" s="192">
        <f>W121/W$8</f>
        <v>4.2457747438172162E-2</v>
      </c>
    </row>
    <row r="122" spans="1:25" x14ac:dyDescent="0.25">
      <c r="A122" s="74"/>
      <c r="B122" s="194" t="s">
        <v>105</v>
      </c>
      <c r="C122" s="195">
        <v>8497</v>
      </c>
      <c r="D122" s="195">
        <v>11920</v>
      </c>
      <c r="E122" s="195">
        <v>24274</v>
      </c>
      <c r="F122" s="195">
        <v>23969</v>
      </c>
      <c r="G122" s="195">
        <v>32986</v>
      </c>
      <c r="H122" s="195">
        <v>27525</v>
      </c>
      <c r="I122" s="196">
        <f>IFERROR(H122/G122-1,"-")</f>
        <v>-0.16555508397501972</v>
      </c>
      <c r="J122" s="196">
        <f t="shared" si="89"/>
        <v>4.3612458348319755E-2</v>
      </c>
      <c r="K122" s="195">
        <v>10988</v>
      </c>
      <c r="L122" s="195">
        <v>29583</v>
      </c>
      <c r="M122" s="195">
        <v>33031</v>
      </c>
      <c r="N122" s="195">
        <v>31747</v>
      </c>
      <c r="O122" s="195">
        <v>29471</v>
      </c>
      <c r="P122" s="195">
        <v>47567</v>
      </c>
      <c r="Q122" s="196">
        <f>IFERROR(P122/O122-1,"-")</f>
        <v>0.61402734891927668</v>
      </c>
      <c r="R122" s="196">
        <f t="shared" si="91"/>
        <v>1.6528423070922421E-2</v>
      </c>
      <c r="S122" s="195">
        <v>19485</v>
      </c>
      <c r="T122" s="195">
        <v>57305</v>
      </c>
      <c r="U122" s="195">
        <v>55716</v>
      </c>
      <c r="V122" s="195">
        <v>62457</v>
      </c>
      <c r="W122" s="195">
        <v>78684</v>
      </c>
      <c r="X122" s="196">
        <f>IFERROR(W122/V122-1,"-")</f>
        <v>0.2598107497958595</v>
      </c>
      <c r="Y122" s="196">
        <f>W122/W$8</f>
        <v>2.2423367449240783E-2</v>
      </c>
    </row>
    <row r="123" spans="1:25" x14ac:dyDescent="0.25">
      <c r="A123" s="74"/>
      <c r="B123" s="194" t="s">
        <v>102</v>
      </c>
      <c r="C123" s="195">
        <v>9430</v>
      </c>
      <c r="D123" s="195">
        <v>13020</v>
      </c>
      <c r="E123" s="195">
        <v>17745</v>
      </c>
      <c r="F123" s="195">
        <v>27005</v>
      </c>
      <c r="G123" s="195">
        <v>23502</v>
      </c>
      <c r="H123" s="195">
        <v>17363</v>
      </c>
      <c r="I123" s="196">
        <f>IFERROR(H123/G123-1,"-")</f>
        <v>-0.26121181176070118</v>
      </c>
      <c r="J123" s="196">
        <f t="shared" si="89"/>
        <v>2.7511103153564972E-2</v>
      </c>
      <c r="K123" s="195">
        <v>14133</v>
      </c>
      <c r="L123" s="195">
        <v>26959</v>
      </c>
      <c r="M123" s="195">
        <v>35355</v>
      </c>
      <c r="N123" s="195">
        <v>39565</v>
      </c>
      <c r="O123" s="195">
        <v>42627</v>
      </c>
      <c r="P123" s="195">
        <v>50673</v>
      </c>
      <c r="Q123" s="196">
        <f>IFERROR(P123/O123-1,"-")</f>
        <v>0.18875360686888598</v>
      </c>
      <c r="R123" s="196">
        <f t="shared" si="91"/>
        <v>1.7607685628121428E-2</v>
      </c>
      <c r="S123" s="195">
        <v>23563</v>
      </c>
      <c r="T123" s="195">
        <v>53100</v>
      </c>
      <c r="U123" s="195">
        <v>66570</v>
      </c>
      <c r="V123" s="195">
        <v>66129</v>
      </c>
      <c r="W123" s="195">
        <v>70301</v>
      </c>
      <c r="X123" s="196">
        <f>IFERROR(W123/V123-1,"-")</f>
        <v>6.3088811262834721E-2</v>
      </c>
      <c r="Y123" s="196">
        <f>W123/W$8</f>
        <v>2.0034379988931376E-2</v>
      </c>
    </row>
    <row r="124" spans="1:25" x14ac:dyDescent="0.25">
      <c r="A124" s="74"/>
      <c r="B124" s="190" t="s">
        <v>109</v>
      </c>
      <c r="C124" s="191">
        <v>19658</v>
      </c>
      <c r="D124" s="191">
        <v>21086</v>
      </c>
      <c r="E124" s="191">
        <v>30437</v>
      </c>
      <c r="F124" s="191">
        <v>26399</v>
      </c>
      <c r="G124" s="191">
        <v>24906</v>
      </c>
      <c r="H124" s="191">
        <v>25628</v>
      </c>
      <c r="I124" s="192">
        <f>IFERROR(H124/G124-1,"-")</f>
        <v>2.8988998634867036E-2</v>
      </c>
      <c r="J124" s="192">
        <f t="shared" si="89"/>
        <v>4.0606724161698041E-2</v>
      </c>
      <c r="K124" s="191">
        <v>13644</v>
      </c>
      <c r="L124" s="191">
        <v>20752</v>
      </c>
      <c r="M124" s="191">
        <v>39073</v>
      </c>
      <c r="N124" s="191">
        <v>46180</v>
      </c>
      <c r="O124" s="191">
        <v>47665</v>
      </c>
      <c r="P124" s="191">
        <v>53269</v>
      </c>
      <c r="Q124" s="192">
        <f>IFERROR(P124/O124-1,"-")</f>
        <v>0.11757054442463022</v>
      </c>
      <c r="R124" s="192">
        <f t="shared" si="91"/>
        <v>1.8509735080307073E-2</v>
      </c>
      <c r="S124" s="191">
        <v>33302</v>
      </c>
      <c r="T124" s="191">
        <v>69510</v>
      </c>
      <c r="U124" s="191">
        <v>72579</v>
      </c>
      <c r="V124" s="191">
        <v>72571</v>
      </c>
      <c r="W124" s="191">
        <v>78897</v>
      </c>
      <c r="X124" s="192">
        <f>IFERROR(W124/V124-1,"-")</f>
        <v>8.7169806120902305E-2</v>
      </c>
      <c r="Y124" s="192">
        <f>W124/W$8</f>
        <v>2.2484068192297674E-2</v>
      </c>
    </row>
    <row r="125" spans="1:25" s="74" customFormat="1" x14ac:dyDescent="0.25">
      <c r="B125" s="194" t="s">
        <v>112</v>
      </c>
      <c r="C125" s="195">
        <v>1147</v>
      </c>
      <c r="D125" s="195">
        <v>349</v>
      </c>
      <c r="E125" s="195">
        <v>1970</v>
      </c>
      <c r="F125" s="195">
        <v>2635</v>
      </c>
      <c r="G125" s="195">
        <v>1913</v>
      </c>
      <c r="H125" s="195">
        <v>1912</v>
      </c>
      <c r="I125" s="196">
        <f t="shared" ref="I125:I132" si="92">IFERROR(H125/G125-1,"-")</f>
        <v>-5.2273915316258801E-4</v>
      </c>
      <c r="J125" s="196">
        <f t="shared" si="89"/>
        <v>3.0295011938959986E-3</v>
      </c>
      <c r="K125" s="195">
        <v>2020</v>
      </c>
      <c r="L125" s="195">
        <v>1586</v>
      </c>
      <c r="M125" s="195">
        <v>5717</v>
      </c>
      <c r="N125" s="195">
        <v>6811</v>
      </c>
      <c r="O125" s="195">
        <v>6505</v>
      </c>
      <c r="P125" s="195">
        <v>6276</v>
      </c>
      <c r="Q125" s="196">
        <f t="shared" ref="Q125:Q132" si="93">IFERROR(P125/O125-1,"-")</f>
        <v>-3.5203689469638699E-2</v>
      </c>
      <c r="R125" s="196">
        <f t="shared" si="91"/>
        <v>2.1807636216938028E-3</v>
      </c>
      <c r="S125" s="195">
        <v>3167</v>
      </c>
      <c r="T125" s="195">
        <v>7687</v>
      </c>
      <c r="U125" s="195">
        <v>9446</v>
      </c>
      <c r="V125" s="195">
        <v>8418</v>
      </c>
      <c r="W125" s="195">
        <v>8188</v>
      </c>
      <c r="X125" s="196">
        <f t="shared" ref="X125:X132" si="94">IFERROR(W125/V125-1,"-")</f>
        <v>-2.732240437158473E-2</v>
      </c>
      <c r="Y125" s="196">
        <f t="shared" ref="Y125:Y132" si="95">W125/W$8</f>
        <v>2.3334163575108478E-3</v>
      </c>
    </row>
    <row r="126" spans="1:25" s="74" customFormat="1" x14ac:dyDescent="0.25">
      <c r="B126" s="194" t="s">
        <v>115</v>
      </c>
      <c r="C126" s="195">
        <v>1435</v>
      </c>
      <c r="D126" s="195">
        <v>1562</v>
      </c>
      <c r="E126" s="195">
        <v>2663</v>
      </c>
      <c r="F126" s="195">
        <v>3497</v>
      </c>
      <c r="G126" s="195">
        <v>3376</v>
      </c>
      <c r="H126" s="195">
        <v>3351</v>
      </c>
      <c r="I126" s="196">
        <f t="shared" si="92"/>
        <v>-7.405213270142208E-3</v>
      </c>
      <c r="J126" s="196">
        <f t="shared" si="89"/>
        <v>5.3095494250760943E-3</v>
      </c>
      <c r="K126" s="195">
        <v>1902</v>
      </c>
      <c r="L126" s="195">
        <v>2864</v>
      </c>
      <c r="M126" s="195">
        <v>4835</v>
      </c>
      <c r="N126" s="195">
        <v>6578</v>
      </c>
      <c r="O126" s="195">
        <v>6228</v>
      </c>
      <c r="P126" s="195">
        <v>7392</v>
      </c>
      <c r="Q126" s="196">
        <f t="shared" si="93"/>
        <v>0.18689788053949896</v>
      </c>
      <c r="R126" s="196">
        <f t="shared" si="91"/>
        <v>2.5685475926642116E-3</v>
      </c>
      <c r="S126" s="195">
        <v>3337</v>
      </c>
      <c r="T126" s="195">
        <v>7498</v>
      </c>
      <c r="U126" s="195">
        <v>10075</v>
      </c>
      <c r="V126" s="195">
        <v>9604</v>
      </c>
      <c r="W126" s="195">
        <v>10743</v>
      </c>
      <c r="X126" s="196">
        <f t="shared" si="94"/>
        <v>0.11859641815910038</v>
      </c>
      <c r="Y126" s="196">
        <f t="shared" si="95"/>
        <v>3.0615402941791691E-3</v>
      </c>
    </row>
    <row r="127" spans="1:25" x14ac:dyDescent="0.25">
      <c r="A127" s="74"/>
      <c r="B127" s="194" t="s">
        <v>118</v>
      </c>
      <c r="C127" s="195">
        <v>1093</v>
      </c>
      <c r="D127" s="195">
        <v>1580</v>
      </c>
      <c r="E127" s="195">
        <v>2017</v>
      </c>
      <c r="F127" s="195">
        <v>2372</v>
      </c>
      <c r="G127" s="195">
        <v>2133</v>
      </c>
      <c r="H127" s="195">
        <v>2216</v>
      </c>
      <c r="I127" s="196">
        <f t="shared" si="92"/>
        <v>3.8912330051570576E-2</v>
      </c>
      <c r="J127" s="196">
        <f t="shared" si="89"/>
        <v>3.5111792079882496E-3</v>
      </c>
      <c r="K127" s="195">
        <v>1330</v>
      </c>
      <c r="L127" s="195">
        <v>3936</v>
      </c>
      <c r="M127" s="195">
        <v>4520</v>
      </c>
      <c r="N127" s="195">
        <v>4675</v>
      </c>
      <c r="O127" s="195">
        <v>4790</v>
      </c>
      <c r="P127" s="195">
        <v>5351</v>
      </c>
      <c r="Q127" s="196">
        <f t="shared" si="93"/>
        <v>0.11711899791231728</v>
      </c>
      <c r="R127" s="196">
        <f t="shared" si="91"/>
        <v>1.8593476959342797E-3</v>
      </c>
      <c r="S127" s="195">
        <v>2423</v>
      </c>
      <c r="T127" s="195">
        <v>6537</v>
      </c>
      <c r="U127" s="195">
        <v>7047</v>
      </c>
      <c r="V127" s="195">
        <v>6923</v>
      </c>
      <c r="W127" s="195">
        <v>7567</v>
      </c>
      <c r="X127" s="196">
        <f t="shared" si="94"/>
        <v>9.3023255813953432E-2</v>
      </c>
      <c r="Y127" s="196">
        <f t="shared" si="95"/>
        <v>2.1564437685985083E-3</v>
      </c>
    </row>
    <row r="128" spans="1:25" x14ac:dyDescent="0.25">
      <c r="A128" s="74"/>
      <c r="B128" s="194" t="s">
        <v>125</v>
      </c>
      <c r="C128" s="195">
        <v>315</v>
      </c>
      <c r="D128" s="195">
        <v>233</v>
      </c>
      <c r="E128" s="195">
        <v>627</v>
      </c>
      <c r="F128" s="195">
        <v>540</v>
      </c>
      <c r="G128" s="195">
        <v>467</v>
      </c>
      <c r="H128" s="195">
        <v>601</v>
      </c>
      <c r="I128" s="196">
        <f t="shared" si="92"/>
        <v>0.28693790149892928</v>
      </c>
      <c r="J128" s="196">
        <f t="shared" si="89"/>
        <v>9.5226475812316698E-4</v>
      </c>
      <c r="K128" s="195">
        <v>309</v>
      </c>
      <c r="L128" s="195">
        <v>600</v>
      </c>
      <c r="M128" s="195">
        <v>1350</v>
      </c>
      <c r="N128" s="195">
        <v>1512</v>
      </c>
      <c r="O128" s="195">
        <v>1346</v>
      </c>
      <c r="P128" s="195">
        <v>1555</v>
      </c>
      <c r="Q128" s="196">
        <f t="shared" si="93"/>
        <v>0.15527488855869231</v>
      </c>
      <c r="R128" s="196">
        <f t="shared" si="91"/>
        <v>5.4032623195249577E-4</v>
      </c>
      <c r="S128" s="195">
        <v>624</v>
      </c>
      <c r="T128" s="195">
        <v>1977</v>
      </c>
      <c r="U128" s="195">
        <v>2052</v>
      </c>
      <c r="V128" s="195">
        <v>1813</v>
      </c>
      <c r="W128" s="195">
        <v>2156</v>
      </c>
      <c r="X128" s="196">
        <f t="shared" si="94"/>
        <v>0.18918918918918926</v>
      </c>
      <c r="Y128" s="196">
        <f t="shared" si="95"/>
        <v>6.1441691094203568E-4</v>
      </c>
    </row>
    <row r="129" spans="1:25" x14ac:dyDescent="0.25">
      <c r="A129" s="74"/>
      <c r="B129" s="194" t="s">
        <v>121</v>
      </c>
      <c r="C129" s="195">
        <v>261</v>
      </c>
      <c r="D129" s="195">
        <v>172</v>
      </c>
      <c r="E129" s="195">
        <v>471</v>
      </c>
      <c r="F129" s="195">
        <v>396</v>
      </c>
      <c r="G129" s="195">
        <v>425</v>
      </c>
      <c r="H129" s="195">
        <v>389</v>
      </c>
      <c r="I129" s="196">
        <f t="shared" si="92"/>
        <v>-8.4705882352941186E-2</v>
      </c>
      <c r="J129" s="196">
        <f t="shared" si="89"/>
        <v>6.1635772197988679E-4</v>
      </c>
      <c r="K129" s="195">
        <v>364</v>
      </c>
      <c r="L129" s="195">
        <v>583</v>
      </c>
      <c r="M129" s="195">
        <v>902</v>
      </c>
      <c r="N129" s="195">
        <v>1037</v>
      </c>
      <c r="O129" s="195">
        <v>1121</v>
      </c>
      <c r="P129" s="195">
        <v>1527</v>
      </c>
      <c r="Q129" s="196">
        <f t="shared" si="93"/>
        <v>0.36217662801070483</v>
      </c>
      <c r="R129" s="196">
        <f t="shared" si="91"/>
        <v>5.3059688501058591E-4</v>
      </c>
      <c r="S129" s="195">
        <v>625</v>
      </c>
      <c r="T129" s="195">
        <v>1373</v>
      </c>
      <c r="U129" s="195">
        <v>1433</v>
      </c>
      <c r="V129" s="195">
        <v>1546</v>
      </c>
      <c r="W129" s="195">
        <v>1916</v>
      </c>
      <c r="X129" s="196">
        <f t="shared" si="94"/>
        <v>0.239327296248383</v>
      </c>
      <c r="Y129" s="196">
        <f t="shared" si="95"/>
        <v>5.4602170749765318E-4</v>
      </c>
    </row>
    <row r="130" spans="1:25" x14ac:dyDescent="0.25">
      <c r="A130" s="74"/>
      <c r="B130" s="194" t="s">
        <v>130</v>
      </c>
      <c r="C130" s="195">
        <v>176</v>
      </c>
      <c r="D130" s="195">
        <v>47</v>
      </c>
      <c r="E130" s="195">
        <v>176</v>
      </c>
      <c r="F130" s="195">
        <v>171</v>
      </c>
      <c r="G130" s="195">
        <v>178</v>
      </c>
      <c r="H130" s="195">
        <v>203</v>
      </c>
      <c r="I130" s="196">
        <f t="shared" si="92"/>
        <v>0.1404494382022472</v>
      </c>
      <c r="J130" s="196">
        <f t="shared" si="89"/>
        <v>3.2164683177870698E-4</v>
      </c>
      <c r="K130" s="195">
        <v>476</v>
      </c>
      <c r="L130" s="195">
        <v>160</v>
      </c>
      <c r="M130" s="195">
        <v>609</v>
      </c>
      <c r="N130" s="195">
        <v>805</v>
      </c>
      <c r="O130" s="195">
        <v>880</v>
      </c>
      <c r="P130" s="195">
        <v>611</v>
      </c>
      <c r="Q130" s="196">
        <f t="shared" si="93"/>
        <v>-0.30568181818181817</v>
      </c>
      <c r="R130" s="196">
        <f t="shared" si="91"/>
        <v>2.1230824933953369E-4</v>
      </c>
      <c r="S130" s="195">
        <v>652</v>
      </c>
      <c r="T130" s="195">
        <v>785</v>
      </c>
      <c r="U130" s="195">
        <v>976</v>
      </c>
      <c r="V130" s="195">
        <v>1058</v>
      </c>
      <c r="W130" s="195">
        <v>814</v>
      </c>
      <c r="X130" s="196">
        <f t="shared" si="94"/>
        <v>-0.23062381852551983</v>
      </c>
      <c r="Y130" s="196">
        <f t="shared" si="95"/>
        <v>2.3197373168219713E-4</v>
      </c>
    </row>
    <row r="131" spans="1:25" x14ac:dyDescent="0.25">
      <c r="A131" s="74"/>
      <c r="B131" s="194" t="s">
        <v>133</v>
      </c>
      <c r="C131" s="195">
        <v>172</v>
      </c>
      <c r="D131" s="195">
        <v>101</v>
      </c>
      <c r="E131" s="195">
        <v>175</v>
      </c>
      <c r="F131" s="195">
        <v>296</v>
      </c>
      <c r="G131" s="195">
        <v>231</v>
      </c>
      <c r="H131" s="195">
        <v>226</v>
      </c>
      <c r="I131" s="196">
        <f t="shared" si="92"/>
        <v>-2.1645021645021689E-2</v>
      </c>
      <c r="J131" s="196">
        <f t="shared" si="89"/>
        <v>3.5808957626594964E-4</v>
      </c>
      <c r="K131" s="195">
        <v>858</v>
      </c>
      <c r="L131" s="195">
        <v>257</v>
      </c>
      <c r="M131" s="195">
        <v>1091</v>
      </c>
      <c r="N131" s="195">
        <v>1510</v>
      </c>
      <c r="O131" s="195">
        <v>1424</v>
      </c>
      <c r="P131" s="195">
        <v>1314</v>
      </c>
      <c r="Q131" s="196">
        <f t="shared" si="93"/>
        <v>-7.7247191011236005E-2</v>
      </c>
      <c r="R131" s="196">
        <f t="shared" si="91"/>
        <v>4.5658435291677133E-4</v>
      </c>
      <c r="S131" s="195">
        <v>1030</v>
      </c>
      <c r="T131" s="195">
        <v>1266</v>
      </c>
      <c r="U131" s="195">
        <v>1806</v>
      </c>
      <c r="V131" s="195">
        <v>1655</v>
      </c>
      <c r="W131" s="195">
        <v>1540</v>
      </c>
      <c r="X131" s="196">
        <f t="shared" si="94"/>
        <v>-6.9486404833836835E-2</v>
      </c>
      <c r="Y131" s="196">
        <f t="shared" si="95"/>
        <v>4.3886922210145402E-4</v>
      </c>
    </row>
    <row r="132" spans="1:25" x14ac:dyDescent="0.25">
      <c r="A132" s="74"/>
      <c r="B132" s="199" t="s">
        <v>147</v>
      </c>
      <c r="C132" s="200">
        <f t="shared" ref="C132" si="96">C124-SUM(C125:C131)</f>
        <v>15059</v>
      </c>
      <c r="D132" s="200">
        <f t="shared" ref="D132:H132" si="97">D124-SUM(D125:D131)</f>
        <v>17042</v>
      </c>
      <c r="E132" s="200">
        <f t="shared" si="97"/>
        <v>22338</v>
      </c>
      <c r="F132" s="200">
        <f t="shared" si="97"/>
        <v>16492</v>
      </c>
      <c r="G132" s="200">
        <f t="shared" si="97"/>
        <v>16183</v>
      </c>
      <c r="H132" s="200">
        <f t="shared" si="97"/>
        <v>16730</v>
      </c>
      <c r="I132" s="201">
        <f t="shared" si="92"/>
        <v>3.3800902181301273E-2</v>
      </c>
      <c r="J132" s="201">
        <f t="shared" si="89"/>
        <v>2.6508135446589989E-2</v>
      </c>
      <c r="K132" s="200">
        <f t="shared" ref="K132:P132" si="98">K124-SUM(K125:K131)</f>
        <v>6385</v>
      </c>
      <c r="L132" s="200">
        <f t="shared" si="98"/>
        <v>10766</v>
      </c>
      <c r="M132" s="200">
        <f t="shared" si="98"/>
        <v>20049</v>
      </c>
      <c r="N132" s="200">
        <f t="shared" si="98"/>
        <v>23252</v>
      </c>
      <c r="O132" s="200">
        <f t="shared" si="98"/>
        <v>25371</v>
      </c>
      <c r="P132" s="200">
        <f t="shared" si="98"/>
        <v>29243</v>
      </c>
      <c r="Q132" s="201">
        <f t="shared" si="93"/>
        <v>0.15261519057191286</v>
      </c>
      <c r="R132" s="201">
        <f t="shared" si="91"/>
        <v>1.0161260450795391E-2</v>
      </c>
      <c r="S132" s="200">
        <f>S124-SUM(S125:S131)</f>
        <v>21444</v>
      </c>
      <c r="T132" s="200">
        <f>T124-SUM(T125:T131)</f>
        <v>42387</v>
      </c>
      <c r="U132" s="200">
        <f>U124-SUM(U125:U131)</f>
        <v>39744</v>
      </c>
      <c r="V132" s="200">
        <f>V124-SUM(V125:V131)</f>
        <v>41554</v>
      </c>
      <c r="W132" s="200">
        <f>W124-SUM(W125:W131)</f>
        <v>45973</v>
      </c>
      <c r="X132" s="201">
        <f t="shared" si="94"/>
        <v>0.10634355296722342</v>
      </c>
      <c r="Y132" s="201">
        <f t="shared" si="95"/>
        <v>1.3101386199785809E-2</v>
      </c>
    </row>
    <row r="133" spans="1:25" x14ac:dyDescent="0.25">
      <c r="A133" s="74"/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</row>
    <row r="134" spans="1:25" x14ac:dyDescent="0.25">
      <c r="A134" s="74"/>
      <c r="B134" s="187" t="s">
        <v>70</v>
      </c>
      <c r="C134" s="209">
        <f t="shared" ref="C134:H134" si="99">C135+C138</f>
        <v>9862</v>
      </c>
      <c r="D134" s="209">
        <f t="shared" si="99"/>
        <v>16912</v>
      </c>
      <c r="E134" s="209">
        <f t="shared" si="99"/>
        <v>40797</v>
      </c>
      <c r="F134" s="209">
        <f t="shared" si="99"/>
        <v>40726</v>
      </c>
      <c r="G134" s="209">
        <f t="shared" si="99"/>
        <v>44646</v>
      </c>
      <c r="H134" s="209">
        <f t="shared" si="99"/>
        <v>42766</v>
      </c>
      <c r="I134" s="210">
        <f>IFERROR(H134/G134-1,"-")</f>
        <v>-4.2109035523899108E-2</v>
      </c>
      <c r="J134" s="210">
        <f t="shared" ref="J134:J146" si="100">H134/H$8</f>
        <v>6.776132220614868E-2</v>
      </c>
      <c r="K134" s="209">
        <f t="shared" ref="K134:P134" si="101">K135+K138</f>
        <v>40956</v>
      </c>
      <c r="L134" s="209">
        <f t="shared" si="101"/>
        <v>39929</v>
      </c>
      <c r="M134" s="209">
        <f t="shared" si="101"/>
        <v>135196</v>
      </c>
      <c r="N134" s="209">
        <f t="shared" si="101"/>
        <v>148772</v>
      </c>
      <c r="O134" s="209">
        <f t="shared" si="101"/>
        <v>154236</v>
      </c>
      <c r="P134" s="209">
        <f t="shared" si="101"/>
        <v>151827</v>
      </c>
      <c r="Q134" s="210">
        <f>IFERROR(P134/O134-1,"-")</f>
        <v>-1.5618921652532536E-2</v>
      </c>
      <c r="R134" s="210">
        <f t="shared" ref="R134:R146" si="102">P134/P$8</f>
        <v>5.2756341362476894E-2</v>
      </c>
      <c r="S134" s="209">
        <f>S135+S138</f>
        <v>61204</v>
      </c>
      <c r="T134" s="209">
        <f>T135+T138</f>
        <v>175993</v>
      </c>
      <c r="U134" s="209">
        <f>U135+U138</f>
        <v>189498</v>
      </c>
      <c r="V134" s="209">
        <f>V135+V138</f>
        <v>198882</v>
      </c>
      <c r="W134" s="209">
        <f>W135+W138</f>
        <v>194593</v>
      </c>
      <c r="X134" s="210">
        <f>IFERROR(W134/V134-1,"-")</f>
        <v>-2.1565551432507712E-2</v>
      </c>
      <c r="Y134" s="210">
        <f>W134/W$8</f>
        <v>5.5455115932719637E-2</v>
      </c>
    </row>
    <row r="135" spans="1:25" x14ac:dyDescent="0.25">
      <c r="A135" s="74"/>
      <c r="B135" s="190" t="s">
        <v>99</v>
      </c>
      <c r="C135" s="191">
        <v>2454</v>
      </c>
      <c r="D135" s="191">
        <v>5722</v>
      </c>
      <c r="E135" s="191">
        <v>5083</v>
      </c>
      <c r="F135" s="191">
        <v>6992</v>
      </c>
      <c r="G135" s="191">
        <v>6555</v>
      </c>
      <c r="H135" s="191">
        <v>2877</v>
      </c>
      <c r="I135" s="192">
        <f>IFERROR(H135/G135-1,"-")</f>
        <v>-0.56109839816933638</v>
      </c>
      <c r="J135" s="192">
        <f t="shared" si="100"/>
        <v>4.5585119952085713E-3</v>
      </c>
      <c r="K135" s="191">
        <v>6197</v>
      </c>
      <c r="L135" s="191">
        <v>12720</v>
      </c>
      <c r="M135" s="191">
        <v>14072</v>
      </c>
      <c r="N135" s="191">
        <v>13710</v>
      </c>
      <c r="O135" s="191">
        <v>12849</v>
      </c>
      <c r="P135" s="191">
        <v>18189</v>
      </c>
      <c r="Q135" s="192">
        <f>IFERROR(P135/O135-1,"-")</f>
        <v>0.41559654447816952</v>
      </c>
      <c r="R135" s="192">
        <f t="shared" si="102"/>
        <v>6.3202532687999646E-3</v>
      </c>
      <c r="S135" s="191">
        <v>15140</v>
      </c>
      <c r="T135" s="191">
        <v>19155</v>
      </c>
      <c r="U135" s="191">
        <v>20702</v>
      </c>
      <c r="V135" s="191">
        <v>19404</v>
      </c>
      <c r="W135" s="191">
        <v>21066</v>
      </c>
      <c r="X135" s="192">
        <f>IFERROR(W135/V135-1,"-")</f>
        <v>8.5652442795300043E-2</v>
      </c>
      <c r="Y135" s="192">
        <f>W135/W$8</f>
        <v>6.0033889823306692E-3</v>
      </c>
    </row>
    <row r="136" spans="1:25" x14ac:dyDescent="0.25">
      <c r="A136" s="74"/>
      <c r="B136" s="194" t="s">
        <v>105</v>
      </c>
      <c r="C136" s="195">
        <v>2454</v>
      </c>
      <c r="D136" s="195">
        <v>5722</v>
      </c>
      <c r="E136" s="195">
        <v>5012</v>
      </c>
      <c r="F136" s="195">
        <v>6992</v>
      </c>
      <c r="G136" s="195">
        <v>6555</v>
      </c>
      <c r="H136" s="195">
        <v>2639</v>
      </c>
      <c r="I136" s="196">
        <f>IFERROR(H136/G136-1,"-")</f>
        <v>-0.59740655987795577</v>
      </c>
      <c r="J136" s="196">
        <f t="shared" si="100"/>
        <v>4.1814088131231905E-3</v>
      </c>
      <c r="K136" s="195">
        <v>3528</v>
      </c>
      <c r="L136" s="195">
        <v>7332</v>
      </c>
      <c r="M136" s="195">
        <v>8329</v>
      </c>
      <c r="N136" s="195">
        <v>6440</v>
      </c>
      <c r="O136" s="195">
        <v>5974</v>
      </c>
      <c r="P136" s="195">
        <v>10537</v>
      </c>
      <c r="Q136" s="196">
        <f>IFERROR(P136/O136-1,"-")</f>
        <v>0.76380984265148988</v>
      </c>
      <c r="R136" s="196">
        <f t="shared" si="102"/>
        <v>3.6613617402465903E-3</v>
      </c>
      <c r="S136" s="195">
        <v>10601</v>
      </c>
      <c r="T136" s="195">
        <v>13341</v>
      </c>
      <c r="U136" s="195">
        <v>13432</v>
      </c>
      <c r="V136" s="195">
        <v>12529</v>
      </c>
      <c r="W136" s="195">
        <v>13414</v>
      </c>
      <c r="X136" s="196">
        <f>IFERROR(W136/V136-1,"-")</f>
        <v>7.0636124191874927E-2</v>
      </c>
      <c r="Y136" s="196">
        <f>W136/W$8</f>
        <v>3.8227219125122757E-3</v>
      </c>
    </row>
    <row r="137" spans="1:25" x14ac:dyDescent="0.25">
      <c r="A137" s="74"/>
      <c r="B137" s="194" t="s">
        <v>102</v>
      </c>
      <c r="C137" s="195">
        <v>0</v>
      </c>
      <c r="D137" s="195">
        <v>0</v>
      </c>
      <c r="E137" s="195">
        <v>71</v>
      </c>
      <c r="F137" s="195">
        <v>0</v>
      </c>
      <c r="G137" s="195">
        <v>0</v>
      </c>
      <c r="H137" s="195">
        <v>0</v>
      </c>
      <c r="I137" s="196" t="str">
        <f>IFERROR(H137/G137-1,"-")</f>
        <v>-</v>
      </c>
      <c r="J137" s="196">
        <f t="shared" si="100"/>
        <v>0</v>
      </c>
      <c r="K137" s="195">
        <v>2669</v>
      </c>
      <c r="L137" s="195">
        <v>5388</v>
      </c>
      <c r="M137" s="195">
        <v>5743</v>
      </c>
      <c r="N137" s="195">
        <v>7270</v>
      </c>
      <c r="O137" s="195">
        <v>6875</v>
      </c>
      <c r="P137" s="195">
        <v>7652</v>
      </c>
      <c r="Q137" s="196">
        <f>IFERROR(P137/O137-1,"-")</f>
        <v>0.11301818181818191</v>
      </c>
      <c r="R137" s="196">
        <f t="shared" si="102"/>
        <v>2.6588915285533747E-3</v>
      </c>
      <c r="S137" s="195">
        <v>4539</v>
      </c>
      <c r="T137" s="195">
        <v>5814</v>
      </c>
      <c r="U137" s="195">
        <v>7270</v>
      </c>
      <c r="V137" s="195">
        <v>6875</v>
      </c>
      <c r="W137" s="195">
        <v>7652</v>
      </c>
      <c r="X137" s="196">
        <f>IFERROR(W137/V137-1,"-")</f>
        <v>0.11301818181818191</v>
      </c>
      <c r="Y137" s="196">
        <f>W137/W$8</f>
        <v>2.1806670698183935E-3</v>
      </c>
    </row>
    <row r="138" spans="1:25" x14ac:dyDescent="0.25">
      <c r="A138" s="74"/>
      <c r="B138" s="190" t="s">
        <v>109</v>
      </c>
      <c r="C138" s="191">
        <v>7408</v>
      </c>
      <c r="D138" s="191">
        <v>11190</v>
      </c>
      <c r="E138" s="191">
        <v>35714</v>
      </c>
      <c r="F138" s="191">
        <v>33734</v>
      </c>
      <c r="G138" s="191">
        <v>38091</v>
      </c>
      <c r="H138" s="191">
        <v>39889</v>
      </c>
      <c r="I138" s="192">
        <f>IFERROR(H138/G138-1,"-")</f>
        <v>4.7202751306082869E-2</v>
      </c>
      <c r="J138" s="192">
        <f t="shared" si="100"/>
        <v>6.3202810210940111E-2</v>
      </c>
      <c r="K138" s="191">
        <v>34759</v>
      </c>
      <c r="L138" s="191">
        <v>27209</v>
      </c>
      <c r="M138" s="191">
        <v>121124</v>
      </c>
      <c r="N138" s="191">
        <v>135062</v>
      </c>
      <c r="O138" s="191">
        <v>141387</v>
      </c>
      <c r="P138" s="191">
        <v>133638</v>
      </c>
      <c r="Q138" s="192">
        <f>IFERROR(P138/O138-1,"-")</f>
        <v>-5.4807019032867221E-2</v>
      </c>
      <c r="R138" s="192">
        <f t="shared" si="102"/>
        <v>4.6436088093676935E-2</v>
      </c>
      <c r="S138" s="191">
        <v>46064</v>
      </c>
      <c r="T138" s="191">
        <v>156838</v>
      </c>
      <c r="U138" s="191">
        <v>168796</v>
      </c>
      <c r="V138" s="191">
        <v>179478</v>
      </c>
      <c r="W138" s="191">
        <v>173527</v>
      </c>
      <c r="X138" s="192">
        <f>IFERROR(W138/V138-1,"-")</f>
        <v>-3.3157267185950356E-2</v>
      </c>
      <c r="Y138" s="192">
        <f>W138/W$8</f>
        <v>4.945172695038897E-2</v>
      </c>
    </row>
    <row r="139" spans="1:25" s="74" customFormat="1" x14ac:dyDescent="0.25">
      <c r="B139" s="194" t="s">
        <v>112</v>
      </c>
      <c r="C139" s="195">
        <v>3361</v>
      </c>
      <c r="D139" s="195">
        <v>4944</v>
      </c>
      <c r="E139" s="195">
        <v>18155</v>
      </c>
      <c r="F139" s="195">
        <v>16893</v>
      </c>
      <c r="G139" s="195">
        <v>21651</v>
      </c>
      <c r="H139" s="195">
        <v>22475</v>
      </c>
      <c r="I139" s="196">
        <f t="shared" ref="I139:I146" si="103">IFERROR(H139/G139-1,"-")</f>
        <v>3.8058288300771403E-2</v>
      </c>
      <c r="J139" s="196">
        <f t="shared" si="100"/>
        <v>3.5610899232642559E-2</v>
      </c>
      <c r="K139" s="195">
        <v>12472</v>
      </c>
      <c r="L139" s="195">
        <v>6130</v>
      </c>
      <c r="M139" s="195">
        <v>51140</v>
      </c>
      <c r="N139" s="195">
        <v>57765</v>
      </c>
      <c r="O139" s="195">
        <v>60525</v>
      </c>
      <c r="P139" s="195">
        <v>58955</v>
      </c>
      <c r="Q139" s="196">
        <f t="shared" ref="Q139:Q146" si="104">IFERROR(P139/O139-1,"-")</f>
        <v>-2.5939694341181374E-2</v>
      </c>
      <c r="R139" s="196">
        <f t="shared" si="102"/>
        <v>2.0485487462867772E-2</v>
      </c>
      <c r="S139" s="195">
        <v>16430</v>
      </c>
      <c r="T139" s="195">
        <v>69295</v>
      </c>
      <c r="U139" s="195">
        <v>74658</v>
      </c>
      <c r="V139" s="195">
        <v>82176</v>
      </c>
      <c r="W139" s="195">
        <v>81430</v>
      </c>
      <c r="X139" s="196">
        <f t="shared" ref="X139:X146" si="105">IFERROR(W139/V139-1,"-")</f>
        <v>-9.078076323987494E-3</v>
      </c>
      <c r="Y139" s="196">
        <f t="shared" ref="Y139:Y146" si="106">W139/W$8</f>
        <v>2.3205922568650259E-2</v>
      </c>
    </row>
    <row r="140" spans="1:25" s="74" customFormat="1" x14ac:dyDescent="0.25">
      <c r="B140" s="194" t="s">
        <v>115</v>
      </c>
      <c r="C140" s="195">
        <v>1257</v>
      </c>
      <c r="D140" s="195">
        <v>918</v>
      </c>
      <c r="E140" s="195">
        <v>1164</v>
      </c>
      <c r="F140" s="195">
        <v>1474</v>
      </c>
      <c r="G140" s="195">
        <v>1318</v>
      </c>
      <c r="H140" s="195">
        <v>1543</v>
      </c>
      <c r="I140" s="196">
        <f t="shared" si="103"/>
        <v>0.17071320182094074</v>
      </c>
      <c r="J140" s="196">
        <f t="shared" si="100"/>
        <v>2.4448328149484968E-3</v>
      </c>
      <c r="K140" s="195">
        <v>2280</v>
      </c>
      <c r="L140" s="195">
        <v>2824</v>
      </c>
      <c r="M140" s="195">
        <v>9065</v>
      </c>
      <c r="N140" s="195">
        <v>13107</v>
      </c>
      <c r="O140" s="195">
        <v>13722</v>
      </c>
      <c r="P140" s="195">
        <v>13499</v>
      </c>
      <c r="Q140" s="196">
        <f t="shared" si="104"/>
        <v>-1.625127532429671E-2</v>
      </c>
      <c r="R140" s="196">
        <f t="shared" si="102"/>
        <v>4.6905876560300579E-3</v>
      </c>
      <c r="S140" s="195">
        <v>3774</v>
      </c>
      <c r="T140" s="195">
        <v>10229</v>
      </c>
      <c r="U140" s="195">
        <v>14581</v>
      </c>
      <c r="V140" s="195">
        <v>15040</v>
      </c>
      <c r="W140" s="195">
        <v>15042</v>
      </c>
      <c r="X140" s="196">
        <f t="shared" si="105"/>
        <v>1.3297872340434225E-4</v>
      </c>
      <c r="Y140" s="196">
        <f t="shared" si="106"/>
        <v>4.28666937587667E-3</v>
      </c>
    </row>
    <row r="141" spans="1:25" x14ac:dyDescent="0.25">
      <c r="A141" s="74"/>
      <c r="B141" s="194" t="s">
        <v>118</v>
      </c>
      <c r="C141" s="195">
        <v>147</v>
      </c>
      <c r="D141" s="195">
        <v>762</v>
      </c>
      <c r="E141" s="195">
        <v>5354</v>
      </c>
      <c r="F141" s="195">
        <v>4531</v>
      </c>
      <c r="G141" s="195">
        <v>4507</v>
      </c>
      <c r="H141" s="195">
        <v>4637</v>
      </c>
      <c r="I141" s="196">
        <f t="shared" si="103"/>
        <v>2.8844020412691407E-2</v>
      </c>
      <c r="J141" s="196">
        <f t="shared" si="100"/>
        <v>7.3471741820584444E-3</v>
      </c>
      <c r="K141" s="195">
        <v>3786</v>
      </c>
      <c r="L141" s="195">
        <v>5223</v>
      </c>
      <c r="M141" s="195">
        <v>14810</v>
      </c>
      <c r="N141" s="195">
        <v>13657</v>
      </c>
      <c r="O141" s="195">
        <v>13824</v>
      </c>
      <c r="P141" s="195">
        <v>11981</v>
      </c>
      <c r="Q141" s="196">
        <f t="shared" si="104"/>
        <v>-0.1333188657407407</v>
      </c>
      <c r="R141" s="196">
        <f t="shared" si="102"/>
        <v>4.1631180611079429E-3</v>
      </c>
      <c r="S141" s="195">
        <v>4896</v>
      </c>
      <c r="T141" s="195">
        <v>20164</v>
      </c>
      <c r="U141" s="195">
        <v>18188</v>
      </c>
      <c r="V141" s="195">
        <v>18331</v>
      </c>
      <c r="W141" s="195">
        <v>16618</v>
      </c>
      <c r="X141" s="196">
        <f t="shared" si="105"/>
        <v>-9.3448257050897432E-2</v>
      </c>
      <c r="Y141" s="196">
        <f t="shared" si="106"/>
        <v>4.7357978784947812E-3</v>
      </c>
    </row>
    <row r="142" spans="1:25" x14ac:dyDescent="0.25">
      <c r="A142" s="74"/>
      <c r="B142" s="194" t="s">
        <v>125</v>
      </c>
      <c r="C142" s="195">
        <v>113</v>
      </c>
      <c r="D142" s="195">
        <v>1445</v>
      </c>
      <c r="E142" s="195">
        <v>3857</v>
      </c>
      <c r="F142" s="195">
        <v>3043</v>
      </c>
      <c r="G142" s="195">
        <v>1725</v>
      </c>
      <c r="H142" s="195">
        <v>1039</v>
      </c>
      <c r="I142" s="196">
        <f t="shared" si="103"/>
        <v>-0.39768115942028981</v>
      </c>
      <c r="J142" s="196">
        <f t="shared" si="100"/>
        <v>1.6462613705323969E-3</v>
      </c>
      <c r="K142" s="195">
        <v>447</v>
      </c>
      <c r="L142" s="195">
        <v>615</v>
      </c>
      <c r="M142" s="195">
        <v>3362</v>
      </c>
      <c r="N142" s="195">
        <v>3193</v>
      </c>
      <c r="O142" s="195">
        <v>2610</v>
      </c>
      <c r="P142" s="195">
        <v>2683</v>
      </c>
      <c r="Q142" s="196">
        <f t="shared" si="104"/>
        <v>2.7969348659003801E-2</v>
      </c>
      <c r="R142" s="196">
        <f t="shared" si="102"/>
        <v>9.3227992304086569E-4</v>
      </c>
      <c r="S142" s="195">
        <v>581</v>
      </c>
      <c r="T142" s="195">
        <v>7219</v>
      </c>
      <c r="U142" s="195">
        <v>6236</v>
      </c>
      <c r="V142" s="195">
        <v>4335</v>
      </c>
      <c r="W142" s="195">
        <v>3722</v>
      </c>
      <c r="X142" s="196">
        <f t="shared" si="105"/>
        <v>-0.14140715109573243</v>
      </c>
      <c r="Y142" s="196">
        <f t="shared" si="106"/>
        <v>1.060695613416631E-3</v>
      </c>
    </row>
    <row r="143" spans="1:25" x14ac:dyDescent="0.25">
      <c r="A143" s="74"/>
      <c r="B143" s="194" t="s">
        <v>121</v>
      </c>
      <c r="C143" s="195">
        <v>428</v>
      </c>
      <c r="D143" s="195">
        <v>789</v>
      </c>
      <c r="E143" s="195">
        <v>331</v>
      </c>
      <c r="F143" s="195">
        <v>1067</v>
      </c>
      <c r="G143" s="195">
        <v>791</v>
      </c>
      <c r="H143" s="195">
        <v>0</v>
      </c>
      <c r="I143" s="196">
        <f t="shared" si="103"/>
        <v>-1</v>
      </c>
      <c r="J143" s="196">
        <f t="shared" si="100"/>
        <v>0</v>
      </c>
      <c r="K143" s="195">
        <v>773</v>
      </c>
      <c r="L143" s="195">
        <v>793</v>
      </c>
      <c r="M143" s="195">
        <v>2633</v>
      </c>
      <c r="N143" s="195">
        <v>2881</v>
      </c>
      <c r="O143" s="195">
        <v>3263</v>
      </c>
      <c r="P143" s="195">
        <v>2995</v>
      </c>
      <c r="Q143" s="196">
        <f t="shared" si="104"/>
        <v>-8.2133006435795242E-2</v>
      </c>
      <c r="R143" s="196">
        <f t="shared" si="102"/>
        <v>1.0406926461078616E-3</v>
      </c>
      <c r="S143" s="195">
        <v>1428</v>
      </c>
      <c r="T143" s="195">
        <v>2964</v>
      </c>
      <c r="U143" s="195">
        <v>3948</v>
      </c>
      <c r="V143" s="195">
        <v>4054</v>
      </c>
      <c r="W143" s="195">
        <v>2995</v>
      </c>
      <c r="X143" s="196">
        <f t="shared" si="105"/>
        <v>-0.26122348297977305</v>
      </c>
      <c r="Y143" s="196">
        <f t="shared" si="106"/>
        <v>8.5351514298302256E-4</v>
      </c>
    </row>
    <row r="144" spans="1:25" x14ac:dyDescent="0.25">
      <c r="A144" s="74"/>
      <c r="B144" s="194" t="s">
        <v>130</v>
      </c>
      <c r="C144" s="195">
        <v>142</v>
      </c>
      <c r="D144" s="195">
        <v>15</v>
      </c>
      <c r="E144" s="195">
        <v>79</v>
      </c>
      <c r="F144" s="195">
        <v>139</v>
      </c>
      <c r="G144" s="195">
        <v>6</v>
      </c>
      <c r="H144" s="195">
        <v>0</v>
      </c>
      <c r="I144" s="196">
        <f t="shared" si="103"/>
        <v>-1</v>
      </c>
      <c r="J144" s="196">
        <f t="shared" si="100"/>
        <v>0</v>
      </c>
      <c r="K144" s="195">
        <v>1439</v>
      </c>
      <c r="L144" s="195">
        <v>238</v>
      </c>
      <c r="M144" s="195">
        <v>1633</v>
      </c>
      <c r="N144" s="195">
        <v>1884</v>
      </c>
      <c r="O144" s="195">
        <v>1992</v>
      </c>
      <c r="P144" s="195">
        <v>2134</v>
      </c>
      <c r="Q144" s="196">
        <f t="shared" si="104"/>
        <v>7.1285140562248994E-2</v>
      </c>
      <c r="R144" s="196">
        <f t="shared" si="102"/>
        <v>7.4151522764413249E-4</v>
      </c>
      <c r="S144" s="195">
        <v>1583</v>
      </c>
      <c r="T144" s="195">
        <v>1712</v>
      </c>
      <c r="U144" s="195">
        <v>2023</v>
      </c>
      <c r="V144" s="195">
        <v>1998</v>
      </c>
      <c r="W144" s="195">
        <v>2134</v>
      </c>
      <c r="X144" s="196">
        <f t="shared" si="105"/>
        <v>6.8068068068068088E-2</v>
      </c>
      <c r="Y144" s="196">
        <f t="shared" si="106"/>
        <v>6.0814735062630053E-4</v>
      </c>
    </row>
    <row r="145" spans="1:25" x14ac:dyDescent="0.25">
      <c r="A145" s="74"/>
      <c r="B145" s="194" t="s">
        <v>133</v>
      </c>
      <c r="C145" s="195">
        <v>815</v>
      </c>
      <c r="D145" s="195">
        <v>20</v>
      </c>
      <c r="E145" s="195">
        <v>49</v>
      </c>
      <c r="F145" s="195">
        <v>62</v>
      </c>
      <c r="G145" s="195">
        <v>54</v>
      </c>
      <c r="H145" s="195">
        <v>0</v>
      </c>
      <c r="I145" s="196">
        <f t="shared" si="103"/>
        <v>-1</v>
      </c>
      <c r="J145" s="196">
        <f t="shared" si="100"/>
        <v>0</v>
      </c>
      <c r="K145" s="195">
        <v>2465</v>
      </c>
      <c r="L145" s="195">
        <v>113</v>
      </c>
      <c r="M145" s="195">
        <v>798</v>
      </c>
      <c r="N145" s="195">
        <v>1356</v>
      </c>
      <c r="O145" s="195">
        <v>1282</v>
      </c>
      <c r="P145" s="195">
        <v>983</v>
      </c>
      <c r="Q145" s="196">
        <f t="shared" si="104"/>
        <v>-0.23322932917316697</v>
      </c>
      <c r="R145" s="196">
        <f t="shared" si="102"/>
        <v>3.4156957299633653E-4</v>
      </c>
      <c r="S145" s="195">
        <v>3337</v>
      </c>
      <c r="T145" s="195">
        <v>847</v>
      </c>
      <c r="U145" s="195">
        <v>1418</v>
      </c>
      <c r="V145" s="195">
        <v>1336</v>
      </c>
      <c r="W145" s="195">
        <v>983</v>
      </c>
      <c r="X145" s="196">
        <f t="shared" si="105"/>
        <v>-0.2642215568862275</v>
      </c>
      <c r="Y145" s="196">
        <f t="shared" si="106"/>
        <v>2.8013535410761643E-4</v>
      </c>
    </row>
    <row r="146" spans="1:25" x14ac:dyDescent="0.25">
      <c r="A146" s="74"/>
      <c r="B146" s="199" t="s">
        <v>147</v>
      </c>
      <c r="C146" s="200">
        <f t="shared" ref="C146" si="107">C138-SUM(C139:C145)</f>
        <v>1145</v>
      </c>
      <c r="D146" s="200">
        <f t="shared" ref="D146:H146" si="108">D138-SUM(D139:D145)</f>
        <v>2297</v>
      </c>
      <c r="E146" s="200">
        <f t="shared" si="108"/>
        <v>6725</v>
      </c>
      <c r="F146" s="200">
        <f t="shared" si="108"/>
        <v>6525</v>
      </c>
      <c r="G146" s="200">
        <f t="shared" si="108"/>
        <v>8039</v>
      </c>
      <c r="H146" s="200">
        <f t="shared" si="108"/>
        <v>10195</v>
      </c>
      <c r="I146" s="201">
        <f t="shared" si="103"/>
        <v>0.26819256126383872</v>
      </c>
      <c r="J146" s="201">
        <f t="shared" si="100"/>
        <v>1.6153642610758214E-2</v>
      </c>
      <c r="K146" s="200">
        <f t="shared" ref="K146:P146" si="109">K138-SUM(K139:K145)</f>
        <v>11097</v>
      </c>
      <c r="L146" s="200">
        <f t="shared" si="109"/>
        <v>11273</v>
      </c>
      <c r="M146" s="200">
        <f t="shared" si="109"/>
        <v>37683</v>
      </c>
      <c r="N146" s="200">
        <f t="shared" si="109"/>
        <v>41219</v>
      </c>
      <c r="O146" s="200">
        <f t="shared" si="109"/>
        <v>44169</v>
      </c>
      <c r="P146" s="200">
        <f t="shared" si="109"/>
        <v>40408</v>
      </c>
      <c r="Q146" s="201">
        <f t="shared" si="104"/>
        <v>-8.5150218479023709E-2</v>
      </c>
      <c r="R146" s="201">
        <f t="shared" si="102"/>
        <v>1.4040837543881961E-2</v>
      </c>
      <c r="S146" s="200">
        <f>S138-SUM(S139:S145)</f>
        <v>14035</v>
      </c>
      <c r="T146" s="200">
        <f>T138-SUM(T139:T145)</f>
        <v>44408</v>
      </c>
      <c r="U146" s="200">
        <f>U138-SUM(U139:U145)</f>
        <v>47744</v>
      </c>
      <c r="V146" s="200">
        <f>V138-SUM(V139:V145)</f>
        <v>52208</v>
      </c>
      <c r="W146" s="200">
        <f>W138-SUM(W139:W145)</f>
        <v>50603</v>
      </c>
      <c r="X146" s="201">
        <f t="shared" si="105"/>
        <v>-3.0742414955562403E-2</v>
      </c>
      <c r="Y146" s="201">
        <f t="shared" si="106"/>
        <v>1.4420843666233687E-2</v>
      </c>
    </row>
    <row r="147" spans="1:25" x14ac:dyDescent="0.25">
      <c r="A147" s="74"/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</row>
    <row r="148" spans="1:25" x14ac:dyDescent="0.25">
      <c r="A148" s="74"/>
      <c r="B148" s="187" t="s">
        <v>70</v>
      </c>
      <c r="C148" s="209">
        <f t="shared" ref="C148:H148" si="110">C149+C152</f>
        <v>9338</v>
      </c>
      <c r="D148" s="209">
        <f t="shared" si="110"/>
        <v>10511</v>
      </c>
      <c r="E148" s="209">
        <f t="shared" si="110"/>
        <v>24222</v>
      </c>
      <c r="F148" s="209">
        <f t="shared" si="110"/>
        <v>24549</v>
      </c>
      <c r="G148" s="209">
        <f t="shared" si="110"/>
        <v>29212</v>
      </c>
      <c r="H148" s="209">
        <f t="shared" si="110"/>
        <v>28473</v>
      </c>
      <c r="I148" s="210">
        <f>IFERROR(H148/G148-1,"-")</f>
        <v>-2.5297822812542781E-2</v>
      </c>
      <c r="J148" s="210">
        <f t="shared" ref="J148:J160" si="111">H148/H$8</f>
        <v>4.5114533208054794E-2</v>
      </c>
      <c r="K148" s="209">
        <f t="shared" ref="K148:P148" si="112">K149+K152</f>
        <v>23835</v>
      </c>
      <c r="L148" s="209">
        <f t="shared" si="112"/>
        <v>41354</v>
      </c>
      <c r="M148" s="209">
        <f t="shared" si="112"/>
        <v>64030</v>
      </c>
      <c r="N148" s="209">
        <f t="shared" si="112"/>
        <v>68956</v>
      </c>
      <c r="O148" s="209">
        <f t="shared" si="112"/>
        <v>67486</v>
      </c>
      <c r="P148" s="209">
        <f t="shared" si="112"/>
        <v>67111</v>
      </c>
      <c r="Q148" s="210">
        <f>IFERROR(P148/O148-1,"-")</f>
        <v>-5.5567080579675965E-3</v>
      </c>
      <c r="R148" s="210">
        <f t="shared" ref="R148:R160" si="113">P148/P$8</f>
        <v>2.3319507236375527E-2</v>
      </c>
      <c r="S148" s="209">
        <f>S149+S152</f>
        <v>33173</v>
      </c>
      <c r="T148" s="209">
        <f>T149+T152</f>
        <v>88252</v>
      </c>
      <c r="U148" s="209">
        <f>U149+U152</f>
        <v>93505</v>
      </c>
      <c r="V148" s="209">
        <f>V149+V152</f>
        <v>96698</v>
      </c>
      <c r="W148" s="209">
        <f>W149+W152</f>
        <v>95584</v>
      </c>
      <c r="X148" s="210">
        <f>IFERROR(W148/V148-1,"-")</f>
        <v>-1.1520403731204332E-2</v>
      </c>
      <c r="Y148" s="210">
        <f>W148/W$8</f>
        <v>2.7239529691782716E-2</v>
      </c>
    </row>
    <row r="149" spans="1:25" x14ac:dyDescent="0.25">
      <c r="A149" s="74"/>
      <c r="B149" s="190" t="s">
        <v>99</v>
      </c>
      <c r="C149" s="191">
        <v>6543</v>
      </c>
      <c r="D149" s="191">
        <v>6226</v>
      </c>
      <c r="E149" s="191">
        <v>14830</v>
      </c>
      <c r="F149" s="191">
        <v>15270</v>
      </c>
      <c r="G149" s="191">
        <v>16050</v>
      </c>
      <c r="H149" s="191">
        <v>14650</v>
      </c>
      <c r="I149" s="192">
        <f>IFERROR(H149/G149-1,"-")</f>
        <v>-8.7227414330218078E-2</v>
      </c>
      <c r="J149" s="192">
        <f t="shared" si="111"/>
        <v>2.3212443771221957E-2</v>
      </c>
      <c r="K149" s="191">
        <v>9369</v>
      </c>
      <c r="L149" s="191">
        <v>26282</v>
      </c>
      <c r="M149" s="191">
        <v>33749</v>
      </c>
      <c r="N149" s="191">
        <v>34124</v>
      </c>
      <c r="O149" s="191">
        <v>29240</v>
      </c>
      <c r="P149" s="191">
        <v>28476</v>
      </c>
      <c r="Q149" s="192">
        <f>IFERROR(P149/O149-1,"-")</f>
        <v>-2.6128590971272181E-2</v>
      </c>
      <c r="R149" s="192">
        <f t="shared" si="113"/>
        <v>9.894745839922359E-3</v>
      </c>
      <c r="S149" s="191">
        <v>15912</v>
      </c>
      <c r="T149" s="191">
        <v>48579</v>
      </c>
      <c r="U149" s="191">
        <v>49394</v>
      </c>
      <c r="V149" s="191">
        <v>45290</v>
      </c>
      <c r="W149" s="191">
        <v>43126</v>
      </c>
      <c r="X149" s="192">
        <f>IFERROR(W149/V149-1,"-")</f>
        <v>-4.7780967100905292E-2</v>
      </c>
      <c r="Y149" s="192">
        <f>W149/W$8</f>
        <v>1.2290048098926823E-2</v>
      </c>
    </row>
    <row r="150" spans="1:25" x14ac:dyDescent="0.25">
      <c r="A150" s="74"/>
      <c r="B150" s="194" t="s">
        <v>105</v>
      </c>
      <c r="C150" s="195">
        <v>2074</v>
      </c>
      <c r="D150" s="195">
        <v>3003</v>
      </c>
      <c r="E150" s="195">
        <v>5613</v>
      </c>
      <c r="F150" s="195">
        <v>4968</v>
      </c>
      <c r="G150" s="195">
        <v>4774</v>
      </c>
      <c r="H150" s="195">
        <v>4363</v>
      </c>
      <c r="I150" s="196">
        <f>IFERROR(H150/G150-1,"-")</f>
        <v>-8.6091328026811853E-2</v>
      </c>
      <c r="J150" s="196">
        <f t="shared" si="111"/>
        <v>6.9130301825147712E-3</v>
      </c>
      <c r="K150" s="195">
        <v>7182</v>
      </c>
      <c r="L150" s="195">
        <v>23101</v>
      </c>
      <c r="M150" s="195">
        <v>29947</v>
      </c>
      <c r="N150" s="195">
        <v>32092</v>
      </c>
      <c r="O150" s="195">
        <v>26560</v>
      </c>
      <c r="P150" s="195">
        <v>23241</v>
      </c>
      <c r="Q150" s="196">
        <f>IFERROR(P150/O150-1,"-")</f>
        <v>-0.12496234939759032</v>
      </c>
      <c r="R150" s="196">
        <f t="shared" si="113"/>
        <v>8.0757054384617069E-3</v>
      </c>
      <c r="S150" s="195">
        <v>9256</v>
      </c>
      <c r="T150" s="195">
        <v>35560</v>
      </c>
      <c r="U150" s="195">
        <v>37060</v>
      </c>
      <c r="V150" s="195">
        <v>31334</v>
      </c>
      <c r="W150" s="195">
        <v>28288</v>
      </c>
      <c r="X150" s="196">
        <f>IFERROR(W150/V150-1,"-")</f>
        <v>-9.7210697644731003E-2</v>
      </c>
      <c r="Y150" s="196">
        <f>W150/W$8</f>
        <v>8.0615146459778776E-3</v>
      </c>
    </row>
    <row r="151" spans="1:25" x14ac:dyDescent="0.25">
      <c r="A151" s="74"/>
      <c r="B151" s="194" t="s">
        <v>102</v>
      </c>
      <c r="C151" s="195">
        <v>4469</v>
      </c>
      <c r="D151" s="195">
        <v>3223</v>
      </c>
      <c r="E151" s="195">
        <v>9217</v>
      </c>
      <c r="F151" s="195">
        <v>10302</v>
      </c>
      <c r="G151" s="195">
        <v>11276</v>
      </c>
      <c r="H151" s="195">
        <v>8865</v>
      </c>
      <c r="I151" s="196">
        <f>IFERROR(H151/G151-1,"-")</f>
        <v>-0.21381695636750619</v>
      </c>
      <c r="J151" s="196">
        <f t="shared" si="111"/>
        <v>1.4046301299104618E-2</v>
      </c>
      <c r="K151" s="195">
        <v>2187</v>
      </c>
      <c r="L151" s="195">
        <v>3181</v>
      </c>
      <c r="M151" s="195">
        <v>3802</v>
      </c>
      <c r="N151" s="195">
        <v>2032</v>
      </c>
      <c r="O151" s="195">
        <v>2680</v>
      </c>
      <c r="P151" s="195">
        <v>5235</v>
      </c>
      <c r="Q151" s="196">
        <f>IFERROR(P151/O151-1,"-")</f>
        <v>0.95335820895522394</v>
      </c>
      <c r="R151" s="196">
        <f t="shared" si="113"/>
        <v>1.819040401460653E-3</v>
      </c>
      <c r="S151" s="195">
        <v>6656</v>
      </c>
      <c r="T151" s="195">
        <v>13019</v>
      </c>
      <c r="U151" s="195">
        <v>12334</v>
      </c>
      <c r="V151" s="195">
        <v>13956</v>
      </c>
      <c r="W151" s="195">
        <v>14838</v>
      </c>
      <c r="X151" s="196">
        <f>IFERROR(W151/V151-1,"-")</f>
        <v>6.3198624247635449E-2</v>
      </c>
      <c r="Y151" s="196">
        <f>W151/W$8</f>
        <v>4.2285334529489444E-3</v>
      </c>
    </row>
    <row r="152" spans="1:25" x14ac:dyDescent="0.25">
      <c r="A152" s="74"/>
      <c r="B152" s="190" t="s">
        <v>109</v>
      </c>
      <c r="C152" s="191">
        <v>2795</v>
      </c>
      <c r="D152" s="191">
        <v>4285</v>
      </c>
      <c r="E152" s="191">
        <v>9392</v>
      </c>
      <c r="F152" s="191">
        <v>9279</v>
      </c>
      <c r="G152" s="191">
        <v>13162</v>
      </c>
      <c r="H152" s="191">
        <v>13823</v>
      </c>
      <c r="I152" s="192">
        <f>IFERROR(H152/G152-1,"-")</f>
        <v>5.0220331256647821E-2</v>
      </c>
      <c r="J152" s="192">
        <f t="shared" si="111"/>
        <v>2.190208943683284E-2</v>
      </c>
      <c r="K152" s="191">
        <v>14466</v>
      </c>
      <c r="L152" s="191">
        <v>15072</v>
      </c>
      <c r="M152" s="191">
        <v>30281</v>
      </c>
      <c r="N152" s="191">
        <v>34832</v>
      </c>
      <c r="O152" s="191">
        <v>38246</v>
      </c>
      <c r="P152" s="191">
        <v>38635</v>
      </c>
      <c r="Q152" s="192">
        <f>IFERROR(P152/O152-1,"-")</f>
        <v>1.0170998274329435E-2</v>
      </c>
      <c r="R152" s="192">
        <f t="shared" si="113"/>
        <v>1.3424761396453166E-2</v>
      </c>
      <c r="S152" s="191">
        <v>17261</v>
      </c>
      <c r="T152" s="191">
        <v>39673</v>
      </c>
      <c r="U152" s="191">
        <v>44111</v>
      </c>
      <c r="V152" s="191">
        <v>51408</v>
      </c>
      <c r="W152" s="191">
        <v>52458</v>
      </c>
      <c r="X152" s="192">
        <f>IFERROR(W152/V152-1,"-")</f>
        <v>2.0424836601307117E-2</v>
      </c>
      <c r="Y152" s="192">
        <f>W152/W$8</f>
        <v>1.4949481592855893E-2</v>
      </c>
    </row>
    <row r="153" spans="1:25" s="74" customFormat="1" x14ac:dyDescent="0.25">
      <c r="B153" s="194" t="s">
        <v>112</v>
      </c>
      <c r="C153" s="195">
        <v>329</v>
      </c>
      <c r="D153" s="195">
        <v>219</v>
      </c>
      <c r="E153" s="195">
        <v>775</v>
      </c>
      <c r="F153" s="195">
        <v>721</v>
      </c>
      <c r="G153" s="195">
        <v>1063</v>
      </c>
      <c r="H153" s="195">
        <v>1144</v>
      </c>
      <c r="I153" s="196">
        <f t="shared" ref="I153:I160" si="114">IFERROR(H153/G153-1,"-")</f>
        <v>7.6199435559736628E-2</v>
      </c>
      <c r="J153" s="196">
        <f t="shared" si="111"/>
        <v>1.8126304214524176E-3</v>
      </c>
      <c r="K153" s="195">
        <v>4759</v>
      </c>
      <c r="L153" s="195">
        <v>2100</v>
      </c>
      <c r="M153" s="195">
        <v>14126</v>
      </c>
      <c r="N153" s="195">
        <v>13992</v>
      </c>
      <c r="O153" s="195">
        <v>15223</v>
      </c>
      <c r="P153" s="195">
        <v>13359</v>
      </c>
      <c r="Q153" s="196">
        <f t="shared" ref="Q153:Q160" si="115">IFERROR(P153/O153-1,"-")</f>
        <v>-0.1224462983643172</v>
      </c>
      <c r="R153" s="196">
        <f t="shared" si="113"/>
        <v>4.6419409213205084E-3</v>
      </c>
      <c r="S153" s="195">
        <v>5088</v>
      </c>
      <c r="T153" s="195">
        <v>14901</v>
      </c>
      <c r="U153" s="195">
        <v>14713</v>
      </c>
      <c r="V153" s="195">
        <v>16286</v>
      </c>
      <c r="W153" s="195">
        <v>14503</v>
      </c>
      <c r="X153" s="196">
        <f t="shared" ref="X153:X160" si="116">IFERROR(W153/V153-1,"-")</f>
        <v>-0.109480535429203</v>
      </c>
      <c r="Y153" s="196">
        <f t="shared" ref="Y153:Y160" si="117">W153/W$8</f>
        <v>4.1330651481411608E-3</v>
      </c>
    </row>
    <row r="154" spans="1:25" s="74" customFormat="1" x14ac:dyDescent="0.25">
      <c r="B154" s="194" t="s">
        <v>115</v>
      </c>
      <c r="C154" s="195">
        <v>495</v>
      </c>
      <c r="D154" s="195">
        <v>685</v>
      </c>
      <c r="E154" s="195">
        <v>1657</v>
      </c>
      <c r="F154" s="195">
        <v>1750</v>
      </c>
      <c r="G154" s="195">
        <v>2133</v>
      </c>
      <c r="H154" s="195">
        <v>2234</v>
      </c>
      <c r="I154" s="196">
        <f t="shared" si="114"/>
        <v>4.7351148616971317E-2</v>
      </c>
      <c r="J154" s="196">
        <f t="shared" si="111"/>
        <v>3.5396996167173962E-3</v>
      </c>
      <c r="K154" s="195">
        <v>3627</v>
      </c>
      <c r="L154" s="195">
        <v>3670</v>
      </c>
      <c r="M154" s="195">
        <v>5733</v>
      </c>
      <c r="N154" s="195">
        <v>6041</v>
      </c>
      <c r="O154" s="195">
        <v>5427</v>
      </c>
      <c r="P154" s="195">
        <v>5595</v>
      </c>
      <c r="Q154" s="196">
        <f t="shared" si="115"/>
        <v>3.0956329463792231E-2</v>
      </c>
      <c r="R154" s="196">
        <f t="shared" si="113"/>
        <v>1.9441320049994944E-3</v>
      </c>
      <c r="S154" s="195">
        <v>4122</v>
      </c>
      <c r="T154" s="195">
        <v>7390</v>
      </c>
      <c r="U154" s="195">
        <v>7791</v>
      </c>
      <c r="V154" s="195">
        <v>7560</v>
      </c>
      <c r="W154" s="195">
        <v>7829</v>
      </c>
      <c r="X154" s="196">
        <f t="shared" si="116"/>
        <v>3.5582010582010604E-2</v>
      </c>
      <c r="Y154" s="196">
        <f t="shared" si="117"/>
        <v>2.2311085323586258E-3</v>
      </c>
    </row>
    <row r="155" spans="1:25" x14ac:dyDescent="0.25">
      <c r="A155" s="74"/>
      <c r="B155" s="194" t="s">
        <v>118</v>
      </c>
      <c r="C155" s="195">
        <v>419</v>
      </c>
      <c r="D155" s="195">
        <v>971</v>
      </c>
      <c r="E155" s="195">
        <v>1784</v>
      </c>
      <c r="F155" s="195">
        <v>1706</v>
      </c>
      <c r="G155" s="195">
        <v>2313</v>
      </c>
      <c r="H155" s="195">
        <v>2478</v>
      </c>
      <c r="I155" s="196">
        <f t="shared" si="114"/>
        <v>7.133592736705574E-2</v>
      </c>
      <c r="J155" s="196">
        <f t="shared" si="111"/>
        <v>3.9263096017124917E-3</v>
      </c>
      <c r="K155" s="195">
        <v>1591</v>
      </c>
      <c r="L155" s="195">
        <v>3213</v>
      </c>
      <c r="M155" s="195">
        <v>3172</v>
      </c>
      <c r="N155" s="195">
        <v>5619</v>
      </c>
      <c r="O155" s="195">
        <v>6975</v>
      </c>
      <c r="P155" s="195">
        <v>10774</v>
      </c>
      <c r="Q155" s="196">
        <f t="shared" si="115"/>
        <v>0.5446594982078854</v>
      </c>
      <c r="R155" s="196">
        <f t="shared" si="113"/>
        <v>3.7437137125763274E-3</v>
      </c>
      <c r="S155" s="195">
        <v>2010</v>
      </c>
      <c r="T155" s="195">
        <v>4956</v>
      </c>
      <c r="U155" s="195">
        <v>7325</v>
      </c>
      <c r="V155" s="195">
        <v>9288</v>
      </c>
      <c r="W155" s="195">
        <v>13252</v>
      </c>
      <c r="X155" s="196">
        <f t="shared" si="116"/>
        <v>0.42678725236864778</v>
      </c>
      <c r="Y155" s="196">
        <f t="shared" si="117"/>
        <v>3.7765551501873175E-3</v>
      </c>
    </row>
    <row r="156" spans="1:25" x14ac:dyDescent="0.25">
      <c r="A156" s="74"/>
      <c r="B156" s="194" t="s">
        <v>125</v>
      </c>
      <c r="C156" s="195">
        <v>223</v>
      </c>
      <c r="D156" s="195">
        <v>186</v>
      </c>
      <c r="E156" s="195">
        <v>568</v>
      </c>
      <c r="F156" s="195">
        <v>466</v>
      </c>
      <c r="G156" s="195">
        <v>668</v>
      </c>
      <c r="H156" s="195">
        <v>781</v>
      </c>
      <c r="I156" s="196">
        <f t="shared" si="114"/>
        <v>0.16916167664670656</v>
      </c>
      <c r="J156" s="196">
        <f t="shared" si="111"/>
        <v>1.2374688454146313E-3</v>
      </c>
      <c r="K156" s="195">
        <v>316</v>
      </c>
      <c r="L156" s="195">
        <v>411</v>
      </c>
      <c r="M156" s="195">
        <v>677</v>
      </c>
      <c r="N156" s="195">
        <v>644</v>
      </c>
      <c r="O156" s="195">
        <v>791</v>
      </c>
      <c r="P156" s="195">
        <v>721</v>
      </c>
      <c r="Q156" s="196">
        <f t="shared" si="115"/>
        <v>-8.8495575221238965E-2</v>
      </c>
      <c r="R156" s="196">
        <f t="shared" si="113"/>
        <v>2.5053068375417969E-4</v>
      </c>
      <c r="S156" s="195">
        <v>539</v>
      </c>
      <c r="T156" s="195">
        <v>1245</v>
      </c>
      <c r="U156" s="195">
        <v>1110</v>
      </c>
      <c r="V156" s="195">
        <v>1459</v>
      </c>
      <c r="W156" s="195">
        <v>1502</v>
      </c>
      <c r="X156" s="196">
        <f t="shared" si="116"/>
        <v>2.9472241261137677E-2</v>
      </c>
      <c r="Y156" s="196">
        <f t="shared" si="117"/>
        <v>4.2803998155609347E-4</v>
      </c>
    </row>
    <row r="157" spans="1:25" x14ac:dyDescent="0.25">
      <c r="A157" s="74"/>
      <c r="B157" s="194" t="s">
        <v>121</v>
      </c>
      <c r="C157" s="195">
        <v>180</v>
      </c>
      <c r="D157" s="195">
        <v>204</v>
      </c>
      <c r="E157" s="195">
        <v>445</v>
      </c>
      <c r="F157" s="195">
        <v>404</v>
      </c>
      <c r="G157" s="195">
        <v>537</v>
      </c>
      <c r="H157" s="195">
        <v>594</v>
      </c>
      <c r="I157" s="196">
        <f t="shared" si="114"/>
        <v>0.1061452513966481</v>
      </c>
      <c r="J157" s="196">
        <f t="shared" si="111"/>
        <v>9.4117348806183228E-4</v>
      </c>
      <c r="K157" s="195">
        <v>943</v>
      </c>
      <c r="L157" s="195">
        <v>1025</v>
      </c>
      <c r="M157" s="195">
        <v>2104</v>
      </c>
      <c r="N157" s="195">
        <v>2001</v>
      </c>
      <c r="O157" s="195">
        <v>2257</v>
      </c>
      <c r="P157" s="195">
        <v>1455</v>
      </c>
      <c r="Q157" s="196">
        <f t="shared" si="115"/>
        <v>-0.35533894550287992</v>
      </c>
      <c r="R157" s="196">
        <f t="shared" si="113"/>
        <v>5.055785643028176E-4</v>
      </c>
      <c r="S157" s="195">
        <v>1123</v>
      </c>
      <c r="T157" s="195">
        <v>2549</v>
      </c>
      <c r="U157" s="195">
        <v>2405</v>
      </c>
      <c r="V157" s="195">
        <v>2794</v>
      </c>
      <c r="W157" s="195">
        <v>2049</v>
      </c>
      <c r="X157" s="196">
        <f t="shared" si="116"/>
        <v>-0.2666428060128847</v>
      </c>
      <c r="Y157" s="196">
        <f t="shared" si="117"/>
        <v>5.8392404940641515E-4</v>
      </c>
    </row>
    <row r="158" spans="1:25" x14ac:dyDescent="0.25">
      <c r="A158" s="74"/>
      <c r="B158" s="194" t="s">
        <v>130</v>
      </c>
      <c r="C158" s="195">
        <v>46</v>
      </c>
      <c r="D158" s="195">
        <v>33</v>
      </c>
      <c r="E158" s="195">
        <v>88</v>
      </c>
      <c r="F158" s="195">
        <v>82</v>
      </c>
      <c r="G158" s="195">
        <v>79</v>
      </c>
      <c r="H158" s="195">
        <v>54</v>
      </c>
      <c r="I158" s="196">
        <f t="shared" si="114"/>
        <v>-0.31645569620253167</v>
      </c>
      <c r="J158" s="196">
        <f t="shared" si="111"/>
        <v>8.5561226187439292E-5</v>
      </c>
      <c r="K158" s="195">
        <v>172</v>
      </c>
      <c r="L158" s="195">
        <v>83</v>
      </c>
      <c r="M158" s="195">
        <v>215</v>
      </c>
      <c r="N158" s="195">
        <v>207</v>
      </c>
      <c r="O158" s="195">
        <v>220</v>
      </c>
      <c r="P158" s="195">
        <v>179</v>
      </c>
      <c r="Q158" s="196">
        <f t="shared" si="115"/>
        <v>-0.1863636363636364</v>
      </c>
      <c r="R158" s="196">
        <f t="shared" si="113"/>
        <v>6.2198325092923952E-5</v>
      </c>
      <c r="S158" s="195">
        <v>218</v>
      </c>
      <c r="T158" s="195">
        <v>303</v>
      </c>
      <c r="U158" s="195">
        <v>289</v>
      </c>
      <c r="V158" s="195">
        <v>299</v>
      </c>
      <c r="W158" s="195">
        <v>233</v>
      </c>
      <c r="X158" s="196">
        <f t="shared" si="116"/>
        <v>-0.22073578595317722</v>
      </c>
      <c r="Y158" s="196">
        <f t="shared" si="117"/>
        <v>6.6400343343921288E-5</v>
      </c>
    </row>
    <row r="159" spans="1:25" x14ac:dyDescent="0.25">
      <c r="A159" s="74"/>
      <c r="B159" s="194" t="s">
        <v>133</v>
      </c>
      <c r="C159" s="195">
        <v>59</v>
      </c>
      <c r="D159" s="195">
        <v>34</v>
      </c>
      <c r="E159" s="195">
        <v>77</v>
      </c>
      <c r="F159" s="195">
        <v>84</v>
      </c>
      <c r="G159" s="195">
        <v>77</v>
      </c>
      <c r="H159" s="195">
        <v>71</v>
      </c>
      <c r="I159" s="196">
        <f t="shared" si="114"/>
        <v>-7.7922077922077948E-2</v>
      </c>
      <c r="J159" s="196">
        <f t="shared" si="111"/>
        <v>1.1249716776496649E-4</v>
      </c>
      <c r="K159" s="195">
        <v>224</v>
      </c>
      <c r="L159" s="195">
        <v>104</v>
      </c>
      <c r="M159" s="195">
        <v>378</v>
      </c>
      <c r="N159" s="195">
        <v>515</v>
      </c>
      <c r="O159" s="195">
        <v>353</v>
      </c>
      <c r="P159" s="195">
        <v>231</v>
      </c>
      <c r="Q159" s="196">
        <f t="shared" si="115"/>
        <v>-0.34560906515580736</v>
      </c>
      <c r="R159" s="196">
        <f t="shared" si="113"/>
        <v>8.0267112270756611E-5</v>
      </c>
      <c r="S159" s="195">
        <v>283</v>
      </c>
      <c r="T159" s="195">
        <v>455</v>
      </c>
      <c r="U159" s="195">
        <v>599</v>
      </c>
      <c r="V159" s="195">
        <v>430</v>
      </c>
      <c r="W159" s="195">
        <v>302</v>
      </c>
      <c r="X159" s="196">
        <f t="shared" si="116"/>
        <v>-0.29767441860465116</v>
      </c>
      <c r="Y159" s="196">
        <f t="shared" si="117"/>
        <v>8.606396433418124E-5</v>
      </c>
    </row>
    <row r="160" spans="1:25" x14ac:dyDescent="0.25">
      <c r="A160" s="74"/>
      <c r="B160" s="199" t="s">
        <v>147</v>
      </c>
      <c r="C160" s="200">
        <f t="shared" ref="C160" si="118">C152-SUM(C153:C159)</f>
        <v>1044</v>
      </c>
      <c r="D160" s="200">
        <f t="shared" ref="D160:H160" si="119">D152-SUM(D153:D159)</f>
        <v>1953</v>
      </c>
      <c r="E160" s="200">
        <f t="shared" si="119"/>
        <v>3998</v>
      </c>
      <c r="F160" s="200">
        <f t="shared" si="119"/>
        <v>4066</v>
      </c>
      <c r="G160" s="200">
        <f t="shared" si="119"/>
        <v>6292</v>
      </c>
      <c r="H160" s="200">
        <f t="shared" si="119"/>
        <v>6467</v>
      </c>
      <c r="I160" s="201">
        <f t="shared" si="114"/>
        <v>2.7813095994914105E-2</v>
      </c>
      <c r="J160" s="201">
        <f t="shared" si="111"/>
        <v>1.0246749069521666E-2</v>
      </c>
      <c r="K160" s="200">
        <f t="shared" ref="K160:P160" si="120">K152-SUM(K153:K159)</f>
        <v>2834</v>
      </c>
      <c r="L160" s="200">
        <f t="shared" si="120"/>
        <v>4466</v>
      </c>
      <c r="M160" s="200">
        <f t="shared" si="120"/>
        <v>3876</v>
      </c>
      <c r="N160" s="200">
        <f t="shared" si="120"/>
        <v>5813</v>
      </c>
      <c r="O160" s="200">
        <f t="shared" si="120"/>
        <v>7000</v>
      </c>
      <c r="P160" s="200">
        <f t="shared" si="120"/>
        <v>6321</v>
      </c>
      <c r="Q160" s="201">
        <f t="shared" si="115"/>
        <v>-9.6999999999999975E-2</v>
      </c>
      <c r="R160" s="201">
        <f t="shared" si="113"/>
        <v>2.196400072136158E-3</v>
      </c>
      <c r="S160" s="200">
        <f>S152-SUM(S153:S159)</f>
        <v>3878</v>
      </c>
      <c r="T160" s="200">
        <f>T152-SUM(T153:T159)</f>
        <v>7874</v>
      </c>
      <c r="U160" s="200">
        <f>U152-SUM(U153:U159)</f>
        <v>9879</v>
      </c>
      <c r="V160" s="200">
        <f>V152-SUM(V153:V159)</f>
        <v>13292</v>
      </c>
      <c r="W160" s="200">
        <f>W152-SUM(W153:W159)</f>
        <v>12788</v>
      </c>
      <c r="X160" s="201">
        <f t="shared" si="116"/>
        <v>-3.7917544387601532E-2</v>
      </c>
      <c r="Y160" s="201">
        <f t="shared" si="117"/>
        <v>3.6443244235281778E-3</v>
      </c>
    </row>
    <row r="161" spans="1:25" ht="6" customHeight="1" x14ac:dyDescent="0.25">
      <c r="A161" s="74"/>
      <c r="C161" s="103"/>
      <c r="D161" s="103"/>
      <c r="E161" s="103"/>
      <c r="F161" s="103"/>
      <c r="G161" s="103"/>
      <c r="H161" s="103"/>
      <c r="I161" s="103"/>
      <c r="K161" s="103"/>
      <c r="L161" s="103"/>
      <c r="M161" s="103"/>
      <c r="N161" s="103"/>
      <c r="O161" s="103"/>
      <c r="P161" s="103"/>
      <c r="Q161" s="103"/>
      <c r="S161" s="103"/>
      <c r="T161" s="103"/>
      <c r="U161" s="103"/>
      <c r="V161" s="103"/>
      <c r="W161" s="103"/>
      <c r="X161" s="103"/>
    </row>
    <row r="162" spans="1:25" ht="6" customHeight="1" x14ac:dyDescent="0.25">
      <c r="A162" s="74"/>
      <c r="B162" s="202"/>
      <c r="C162" s="202"/>
      <c r="D162" s="202"/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</row>
    <row r="163" spans="1:25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</row>
  </sheetData>
  <mergeCells count="3">
    <mergeCell ref="C5:J5"/>
    <mergeCell ref="K5:R5"/>
    <mergeCell ref="S5:Y5"/>
  </mergeCells>
  <pageMargins left="0.25" right="0.25" top="0.75" bottom="0.75" header="0.3" footer="0.3"/>
  <pageSetup paperSize="9" scale="2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B55BC-3C3E-4A88-AD2C-82FCA70EEA90}">
  <sheetPr>
    <tabColor theme="7" tint="0.79998168889431442"/>
    <pageSetUpPr fitToPage="1"/>
  </sheetPr>
  <dimension ref="A1:Z164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26" width="10.5703125" customWidth="1"/>
  </cols>
  <sheetData>
    <row r="1" spans="1:26" ht="42.75" customHeight="1" x14ac:dyDescent="0.25"/>
    <row r="4" spans="1:26" ht="42" customHeight="1" thickBot="1" x14ac:dyDescent="0.3">
      <c r="B4" s="85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</row>
    <row r="5" spans="1:26" ht="6" customHeight="1" x14ac:dyDescent="0.25"/>
    <row r="6" spans="1:26" ht="15.75" x14ac:dyDescent="0.25">
      <c r="B6" s="217"/>
      <c r="C6" s="203" t="s">
        <v>64</v>
      </c>
      <c r="D6" s="204"/>
      <c r="E6" s="204"/>
      <c r="F6" s="204"/>
      <c r="G6" s="204"/>
      <c r="H6" s="204"/>
      <c r="I6" s="204"/>
      <c r="J6" s="204"/>
      <c r="K6" s="203" t="s">
        <v>63</v>
      </c>
      <c r="L6" s="204"/>
      <c r="M6" s="204"/>
      <c r="N6" s="204"/>
      <c r="O6" s="204"/>
      <c r="P6" s="204"/>
      <c r="Q6" s="204"/>
      <c r="R6" s="204"/>
      <c r="S6" s="203" t="s">
        <v>139</v>
      </c>
      <c r="T6" s="204"/>
      <c r="U6" s="204"/>
      <c r="V6" s="204"/>
      <c r="W6" s="204"/>
      <c r="X6" s="204"/>
      <c r="Y6" s="204"/>
      <c r="Z6" s="204"/>
    </row>
    <row r="7" spans="1:26" s="177" customFormat="1" ht="72" customHeight="1" x14ac:dyDescent="0.25">
      <c r="B7" s="178"/>
      <c r="C7" s="218">
        <f>D7-1</f>
        <v>2020</v>
      </c>
      <c r="D7" s="218">
        <f>E7-1</f>
        <v>2021</v>
      </c>
      <c r="E7" s="218">
        <f>F7-1</f>
        <v>2022</v>
      </c>
      <c r="F7" s="218">
        <f>G7-1</f>
        <v>2023</v>
      </c>
      <c r="G7" s="218">
        <v>2024</v>
      </c>
      <c r="H7" s="206" t="str">
        <f>CONCATENATE("var. ",RIGHT(G7,2),"/",RIGHT(F7,2))</f>
        <v>var. 24/23</v>
      </c>
      <c r="I7" s="206" t="str">
        <f>CONCATENATE("var. ",RIGHT(G7,2),"/",RIGHT(C7,2))</f>
        <v>var. 24/20</v>
      </c>
      <c r="J7" s="206" t="str">
        <f>CONCATENATE("Cuota s/ total lugares de residencia ",RIGHT(G7,4))</f>
        <v>Cuota s/ total lugares de residencia 2024</v>
      </c>
      <c r="K7" s="218">
        <f>L7-1</f>
        <v>2020</v>
      </c>
      <c r="L7" s="218">
        <f>M7-1</f>
        <v>2021</v>
      </c>
      <c r="M7" s="218">
        <f>N7-1</f>
        <v>2022</v>
      </c>
      <c r="N7" s="218">
        <f>O7-1</f>
        <v>2023</v>
      </c>
      <c r="O7" s="218">
        <v>2024</v>
      </c>
      <c r="P7" s="206" t="str">
        <f>CONCATENATE("var. ",RIGHT(O7,2),"/",RIGHT(N7,2))</f>
        <v>var. 24/23</v>
      </c>
      <c r="Q7" s="206" t="str">
        <f>CONCATENATE("var. ",RIGHT(O7,2),"/",RIGHT(K7,2))</f>
        <v>var. 24/20</v>
      </c>
      <c r="R7" s="206" t="str">
        <f>CONCATENATE("Cuota s/ total lugares de residencia ",RIGHT(O7,4))</f>
        <v>Cuota s/ total lugares de residencia 2024</v>
      </c>
      <c r="S7" s="218">
        <f>T7-1</f>
        <v>2020</v>
      </c>
      <c r="T7" s="218">
        <f>U7-1</f>
        <v>2021</v>
      </c>
      <c r="U7" s="218">
        <f>V7-1</f>
        <v>2022</v>
      </c>
      <c r="V7" s="218">
        <f>W7-1</f>
        <v>2023</v>
      </c>
      <c r="W7" s="218">
        <v>2024</v>
      </c>
      <c r="X7" s="206" t="str">
        <f>CONCATENATE("var. ",RIGHT(W7,2),"/",RIGHT(V7,2))</f>
        <v>var. 24/23</v>
      </c>
      <c r="Y7" s="206" t="str">
        <f>CONCATENATE("var. ",RIGHT(W7,2),"/",RIGHT(S7,2))</f>
        <v>var. 24/20</v>
      </c>
      <c r="Z7" s="206" t="str">
        <f>CONCATENATE("Cuota s/ total lugares de residencia ",RIGHT(U7,4))</f>
        <v>Cuota s/ total lugares de residencia 2022</v>
      </c>
    </row>
    <row r="8" spans="1:26" x14ac:dyDescent="0.25">
      <c r="A8" s="1"/>
      <c r="B8" s="183" t="s">
        <v>45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</row>
    <row r="9" spans="1:26" x14ac:dyDescent="0.25">
      <c r="A9" s="1" t="s">
        <v>0</v>
      </c>
      <c r="B9" s="187" t="s">
        <v>70</v>
      </c>
      <c r="C9" s="209">
        <f>C10+C13</f>
        <v>244233</v>
      </c>
      <c r="D9" s="209">
        <f>D10+D13</f>
        <v>332855</v>
      </c>
      <c r="E9" s="209">
        <f>E10+E13</f>
        <v>672483</v>
      </c>
      <c r="F9" s="209">
        <f>F10+F13</f>
        <v>738404</v>
      </c>
      <c r="G9" s="209">
        <f>G10+G13</f>
        <v>758810</v>
      </c>
      <c r="H9" s="210">
        <f>IFERROR(G9/F9-1,"-")</f>
        <v>2.763527824876344E-2</v>
      </c>
      <c r="I9" s="210">
        <f>IFERROR(G9/C9-1,"-")</f>
        <v>2.1069102045997061</v>
      </c>
      <c r="J9" s="210">
        <f>G9/G$9</f>
        <v>1</v>
      </c>
      <c r="K9" s="209">
        <f>K10+K13</f>
        <v>956053</v>
      </c>
      <c r="L9" s="209">
        <f>L10+L13</f>
        <v>1525176</v>
      </c>
      <c r="M9" s="209">
        <f>M10+M13</f>
        <v>3104390</v>
      </c>
      <c r="N9" s="209">
        <f>N10+N13</f>
        <v>3350154</v>
      </c>
      <c r="O9" s="209">
        <f>O10+O13</f>
        <v>3520830</v>
      </c>
      <c r="P9" s="210">
        <f>IFERROR(O9/N9-1,"-")</f>
        <v>5.0945717719245165E-2</v>
      </c>
      <c r="Q9" s="210">
        <f>IFERROR(O9/K9-1,"-")</f>
        <v>2.6826724041449586</v>
      </c>
      <c r="R9" s="210">
        <f>O9/O$9</f>
        <v>1</v>
      </c>
      <c r="S9" s="209">
        <f>S10+S13</f>
        <v>1200286</v>
      </c>
      <c r="T9" s="209">
        <f>T10+T13</f>
        <v>1858031</v>
      </c>
      <c r="U9" s="209">
        <f>U10+U13</f>
        <v>3776873</v>
      </c>
      <c r="V9" s="209">
        <f>V10+V13</f>
        <v>4088558</v>
      </c>
      <c r="W9" s="209">
        <f>W10+W13</f>
        <v>4279640</v>
      </c>
      <c r="X9" s="210">
        <f>IFERROR(W9/V9-1,"-")</f>
        <v>4.6735792912806939E-2</v>
      </c>
      <c r="Y9" s="210">
        <f>IFERROR(W9/S9-1,"-")</f>
        <v>2.5655168851423742</v>
      </c>
      <c r="Z9" s="210">
        <f t="shared" ref="Z9:Z21" si="0">U9/U$9</f>
        <v>1</v>
      </c>
    </row>
    <row r="10" spans="1:26" x14ac:dyDescent="0.25">
      <c r="A10" s="1" t="s">
        <v>98</v>
      </c>
      <c r="B10" s="190" t="s">
        <v>99</v>
      </c>
      <c r="C10" s="191">
        <v>79595</v>
      </c>
      <c r="D10" s="191">
        <v>119848</v>
      </c>
      <c r="E10" s="191">
        <v>173672</v>
      </c>
      <c r="F10" s="191">
        <v>206738</v>
      </c>
      <c r="G10" s="191">
        <v>212287</v>
      </c>
      <c r="H10" s="192">
        <f>IFERROR(G10/F10-1,"-")</f>
        <v>2.684073561706124E-2</v>
      </c>
      <c r="I10" s="211">
        <f t="shared" ref="I10:I73" si="1">IFERROR(G10/C10-1,"-")</f>
        <v>1.6670896413091274</v>
      </c>
      <c r="J10" s="192">
        <f>G10/G$9</f>
        <v>0.27976305003887664</v>
      </c>
      <c r="K10" s="191">
        <v>297299</v>
      </c>
      <c r="L10" s="191">
        <v>549418</v>
      </c>
      <c r="M10" s="191">
        <v>688398</v>
      </c>
      <c r="N10" s="191">
        <v>674557</v>
      </c>
      <c r="O10" s="191">
        <v>676316</v>
      </c>
      <c r="P10" s="192">
        <f>IFERROR(O10/N10-1,"-")</f>
        <v>2.6076373086336702E-3</v>
      </c>
      <c r="Q10" s="211">
        <f t="shared" ref="Q10:Q21" si="2">IFERROR(O10/K10-1,"-")</f>
        <v>1.2748680621192805</v>
      </c>
      <c r="R10" s="192">
        <f>O10/O$9</f>
        <v>0.19208993333958185</v>
      </c>
      <c r="S10" s="191">
        <v>376894</v>
      </c>
      <c r="T10" s="191">
        <v>669266</v>
      </c>
      <c r="U10" s="191">
        <v>862070</v>
      </c>
      <c r="V10" s="191">
        <v>881295</v>
      </c>
      <c r="W10" s="191">
        <v>888603</v>
      </c>
      <c r="X10" s="192">
        <f>IFERROR(W10/V10-1,"-")</f>
        <v>8.2923425186798294E-3</v>
      </c>
      <c r="Y10" s="211">
        <f t="shared" ref="Y10:Y21" si="3">IFERROR(W10/S10-1,"-")</f>
        <v>1.3577000429829078</v>
      </c>
      <c r="Z10" s="192">
        <f t="shared" si="0"/>
        <v>0.2282496657949579</v>
      </c>
    </row>
    <row r="11" spans="1:26" x14ac:dyDescent="0.25">
      <c r="A11" s="193" t="s">
        <v>105</v>
      </c>
      <c r="B11" s="194" t="s">
        <v>105</v>
      </c>
      <c r="C11" s="195">
        <v>38726</v>
      </c>
      <c r="D11" s="195">
        <v>76913</v>
      </c>
      <c r="E11" s="195">
        <v>97401</v>
      </c>
      <c r="F11" s="195">
        <v>116854</v>
      </c>
      <c r="G11" s="195">
        <v>118239</v>
      </c>
      <c r="H11" s="196">
        <f>IFERROR(G11/F11-1,"-")</f>
        <v>1.1852397008232485E-2</v>
      </c>
      <c r="I11" s="212">
        <f t="shared" si="1"/>
        <v>2.0532200588751741</v>
      </c>
      <c r="J11" s="196">
        <f>G11/G$9</f>
        <v>0.15582161542415096</v>
      </c>
      <c r="K11" s="195">
        <v>112436</v>
      </c>
      <c r="L11" s="195">
        <v>248239</v>
      </c>
      <c r="M11" s="195">
        <v>235468</v>
      </c>
      <c r="N11" s="195">
        <v>223216</v>
      </c>
      <c r="O11" s="195">
        <v>221092</v>
      </c>
      <c r="P11" s="196">
        <f>IFERROR(O11/N11-1,"-")</f>
        <v>-9.5154469213676318E-3</v>
      </c>
      <c r="Q11" s="212">
        <f t="shared" si="2"/>
        <v>0.96638087445302223</v>
      </c>
      <c r="R11" s="196">
        <f>O11/O$9</f>
        <v>6.279542039803114E-2</v>
      </c>
      <c r="S11" s="195">
        <v>151162</v>
      </c>
      <c r="T11" s="195">
        <v>325152</v>
      </c>
      <c r="U11" s="195">
        <v>332869</v>
      </c>
      <c r="V11" s="195">
        <v>340070</v>
      </c>
      <c r="W11" s="195">
        <v>339331</v>
      </c>
      <c r="X11" s="196">
        <f>IFERROR(W11/V11-1,"-")</f>
        <v>-2.1730820125268613E-3</v>
      </c>
      <c r="Y11" s="212">
        <f t="shared" si="3"/>
        <v>1.2448168190418225</v>
      </c>
      <c r="Z11" s="196">
        <f t="shared" si="0"/>
        <v>8.8133490323873742E-2</v>
      </c>
    </row>
    <row r="12" spans="1:26" x14ac:dyDescent="0.25">
      <c r="A12" s="193" t="s">
        <v>102</v>
      </c>
      <c r="B12" s="194" t="s">
        <v>102</v>
      </c>
      <c r="C12" s="195">
        <v>40869</v>
      </c>
      <c r="D12" s="195">
        <v>42935</v>
      </c>
      <c r="E12" s="195">
        <v>76271</v>
      </c>
      <c r="F12" s="195">
        <v>89884</v>
      </c>
      <c r="G12" s="195">
        <v>94048</v>
      </c>
      <c r="H12" s="196">
        <f>IFERROR(G12/F12-1,"-")</f>
        <v>4.6326376218236875E-2</v>
      </c>
      <c r="I12" s="212">
        <f t="shared" si="1"/>
        <v>1.3012062932785242</v>
      </c>
      <c r="J12" s="196">
        <f>G12/G$9</f>
        <v>0.12394143461472569</v>
      </c>
      <c r="K12" s="195">
        <v>184863</v>
      </c>
      <c r="L12" s="195">
        <v>301179</v>
      </c>
      <c r="M12" s="195">
        <v>452930</v>
      </c>
      <c r="N12" s="195">
        <v>451341</v>
      </c>
      <c r="O12" s="195">
        <v>455224</v>
      </c>
      <c r="P12" s="196">
        <f>IFERROR(O12/N12-1,"-")</f>
        <v>8.6032512003120232E-3</v>
      </c>
      <c r="Q12" s="212">
        <f t="shared" si="2"/>
        <v>1.4624938467946533</v>
      </c>
      <c r="R12" s="196">
        <f>O12/O$9</f>
        <v>0.12929451294155073</v>
      </c>
      <c r="S12" s="195">
        <v>225732</v>
      </c>
      <c r="T12" s="195">
        <v>344114</v>
      </c>
      <c r="U12" s="195">
        <v>529201</v>
      </c>
      <c r="V12" s="195">
        <v>541225</v>
      </c>
      <c r="W12" s="195">
        <v>549272</v>
      </c>
      <c r="X12" s="196">
        <f>IFERROR(W12/V12-1,"-")</f>
        <v>1.4868123238948705E-2</v>
      </c>
      <c r="Y12" s="212">
        <f t="shared" si="3"/>
        <v>1.4332925770382579</v>
      </c>
      <c r="Z12" s="196">
        <f t="shared" si="0"/>
        <v>0.14011617547108415</v>
      </c>
    </row>
    <row r="13" spans="1:26" x14ac:dyDescent="0.25">
      <c r="A13" s="1" t="s">
        <v>148</v>
      </c>
      <c r="B13" s="190" t="s">
        <v>109</v>
      </c>
      <c r="C13" s="191">
        <v>164638</v>
      </c>
      <c r="D13" s="191">
        <v>213007</v>
      </c>
      <c r="E13" s="191">
        <v>498811</v>
      </c>
      <c r="F13" s="191">
        <v>531666</v>
      </c>
      <c r="G13" s="191">
        <v>546523</v>
      </c>
      <c r="H13" s="192">
        <f>IFERROR(G13/F13-1,"-")</f>
        <v>2.7944235666753192E-2</v>
      </c>
      <c r="I13" s="211">
        <f t="shared" si="1"/>
        <v>2.3195434832784656</v>
      </c>
      <c r="J13" s="192">
        <f>G13/G$9</f>
        <v>0.72023694996112331</v>
      </c>
      <c r="K13" s="191">
        <v>658754</v>
      </c>
      <c r="L13" s="191">
        <v>975758</v>
      </c>
      <c r="M13" s="191">
        <v>2415992</v>
      </c>
      <c r="N13" s="191">
        <v>2675597</v>
      </c>
      <c r="O13" s="191">
        <v>2844514</v>
      </c>
      <c r="P13" s="192">
        <f>IFERROR(O13/N13-1,"-")</f>
        <v>6.3132452308774401E-2</v>
      </c>
      <c r="Q13" s="211">
        <f t="shared" si="2"/>
        <v>3.3180215983508257</v>
      </c>
      <c r="R13" s="192">
        <f>O13/O$9</f>
        <v>0.80791006666041809</v>
      </c>
      <c r="S13" s="191">
        <v>823392</v>
      </c>
      <c r="T13" s="191">
        <v>1188765</v>
      </c>
      <c r="U13" s="191">
        <v>2914803</v>
      </c>
      <c r="V13" s="191">
        <v>3207263</v>
      </c>
      <c r="W13" s="191">
        <v>3391037</v>
      </c>
      <c r="X13" s="192">
        <f>IFERROR(W13/V13-1,"-")</f>
        <v>5.7299323441825534E-2</v>
      </c>
      <c r="Y13" s="211">
        <f t="shared" si="3"/>
        <v>3.1183749659943256</v>
      </c>
      <c r="Z13" s="192">
        <f t="shared" si="0"/>
        <v>0.77175033420504213</v>
      </c>
    </row>
    <row r="14" spans="1:26" x14ac:dyDescent="0.25">
      <c r="A14" s="193" t="s">
        <v>112</v>
      </c>
      <c r="B14" s="194" t="s">
        <v>112</v>
      </c>
      <c r="C14" s="195">
        <v>55984</v>
      </c>
      <c r="D14" s="195">
        <v>51463</v>
      </c>
      <c r="E14" s="195">
        <v>185404</v>
      </c>
      <c r="F14" s="195">
        <v>205688</v>
      </c>
      <c r="G14" s="195">
        <v>204540</v>
      </c>
      <c r="H14" s="196">
        <f t="shared" ref="H14:H21" si="4">IFERROR(G14/F14-1,"-")</f>
        <v>-5.5812687176695075E-3</v>
      </c>
      <c r="I14" s="212">
        <f t="shared" si="1"/>
        <v>2.6535438696770508</v>
      </c>
      <c r="J14" s="196">
        <f t="shared" ref="J14:J21" si="5">G14/G$9</f>
        <v>0.26955364320449127</v>
      </c>
      <c r="K14" s="195">
        <v>260474</v>
      </c>
      <c r="L14" s="195">
        <v>284717</v>
      </c>
      <c r="M14" s="195">
        <v>1132692</v>
      </c>
      <c r="N14" s="195">
        <v>1254072</v>
      </c>
      <c r="O14" s="195">
        <v>1327265</v>
      </c>
      <c r="P14" s="196">
        <f t="shared" ref="P14:P21" si="6">IFERROR(O14/N14-1,"-")</f>
        <v>5.8364272545754936E-2</v>
      </c>
      <c r="Q14" s="212">
        <f t="shared" si="2"/>
        <v>4.0955757580411101</v>
      </c>
      <c r="R14" s="196">
        <f t="shared" ref="R14:R21" si="7">O14/O$9</f>
        <v>0.37697503145565109</v>
      </c>
      <c r="S14" s="195">
        <v>316458</v>
      </c>
      <c r="T14" s="195">
        <v>336180</v>
      </c>
      <c r="U14" s="195">
        <v>1318096</v>
      </c>
      <c r="V14" s="195">
        <v>1459760</v>
      </c>
      <c r="W14" s="195">
        <v>1531805</v>
      </c>
      <c r="X14" s="196">
        <f t="shared" ref="X14:X21" si="8">IFERROR(W14/V14-1,"-")</f>
        <v>4.9354003397818813E-2</v>
      </c>
      <c r="Y14" s="212">
        <f t="shared" si="3"/>
        <v>3.8404685613888727</v>
      </c>
      <c r="Z14" s="196">
        <f t="shared" si="0"/>
        <v>0.34899134813376037</v>
      </c>
    </row>
    <row r="15" spans="1:26" x14ac:dyDescent="0.25">
      <c r="A15" s="193" t="s">
        <v>115</v>
      </c>
      <c r="B15" s="194" t="s">
        <v>115</v>
      </c>
      <c r="C15" s="195">
        <v>24167</v>
      </c>
      <c r="D15" s="195">
        <v>38221</v>
      </c>
      <c r="E15" s="195">
        <v>64721</v>
      </c>
      <c r="F15" s="195">
        <v>72627</v>
      </c>
      <c r="G15" s="195">
        <v>73563</v>
      </c>
      <c r="H15" s="196">
        <f t="shared" si="4"/>
        <v>1.2887769011524552E-2</v>
      </c>
      <c r="I15" s="212">
        <f t="shared" si="1"/>
        <v>2.0439442214590144</v>
      </c>
      <c r="J15" s="196">
        <f t="shared" si="5"/>
        <v>9.6945216852703575E-2</v>
      </c>
      <c r="K15" s="195">
        <v>92917</v>
      </c>
      <c r="L15" s="195">
        <v>156330</v>
      </c>
      <c r="M15" s="195">
        <v>274306</v>
      </c>
      <c r="N15" s="195">
        <v>309168</v>
      </c>
      <c r="O15" s="195">
        <v>317350</v>
      </c>
      <c r="P15" s="196">
        <f t="shared" si="6"/>
        <v>2.6464575894012299E-2</v>
      </c>
      <c r="Q15" s="212">
        <f t="shared" si="2"/>
        <v>2.4154137563632059</v>
      </c>
      <c r="R15" s="196">
        <f t="shared" si="7"/>
        <v>9.0134996577511547E-2</v>
      </c>
      <c r="S15" s="195">
        <v>117084</v>
      </c>
      <c r="T15" s="195">
        <v>194551</v>
      </c>
      <c r="U15" s="195">
        <v>339027</v>
      </c>
      <c r="V15" s="195">
        <v>381795</v>
      </c>
      <c r="W15" s="195">
        <v>390913</v>
      </c>
      <c r="X15" s="196">
        <f t="shared" si="8"/>
        <v>2.388192616456486E-2</v>
      </c>
      <c r="Y15" s="212">
        <f t="shared" si="3"/>
        <v>2.3387397082436543</v>
      </c>
      <c r="Z15" s="196">
        <f t="shared" si="0"/>
        <v>8.9763939640014376E-2</v>
      </c>
    </row>
    <row r="16" spans="1:26" x14ac:dyDescent="0.25">
      <c r="A16" s="193" t="s">
        <v>118</v>
      </c>
      <c r="B16" s="194" t="s">
        <v>118</v>
      </c>
      <c r="C16" s="195">
        <v>11046</v>
      </c>
      <c r="D16" s="195">
        <v>21498</v>
      </c>
      <c r="E16" s="195">
        <v>31998</v>
      </c>
      <c r="F16" s="195">
        <v>34482</v>
      </c>
      <c r="G16" s="195">
        <v>33626</v>
      </c>
      <c r="H16" s="196">
        <f t="shared" si="4"/>
        <v>-2.4824546140015058E-2</v>
      </c>
      <c r="I16" s="212">
        <f t="shared" si="1"/>
        <v>2.044178888285352</v>
      </c>
      <c r="J16" s="196">
        <f t="shared" si="5"/>
        <v>4.4314123430107669E-2</v>
      </c>
      <c r="K16" s="195">
        <v>37740</v>
      </c>
      <c r="L16" s="195">
        <v>83736</v>
      </c>
      <c r="M16" s="195">
        <v>134432</v>
      </c>
      <c r="N16" s="195">
        <v>142823</v>
      </c>
      <c r="O16" s="195">
        <v>158899</v>
      </c>
      <c r="P16" s="196">
        <f t="shared" si="6"/>
        <v>0.11255890157747706</v>
      </c>
      <c r="Q16" s="212">
        <f t="shared" si="2"/>
        <v>3.2103603603603608</v>
      </c>
      <c r="R16" s="196">
        <f t="shared" si="7"/>
        <v>4.5131119650764169E-2</v>
      </c>
      <c r="S16" s="195">
        <v>48786</v>
      </c>
      <c r="T16" s="195">
        <v>105234</v>
      </c>
      <c r="U16" s="195">
        <v>166430</v>
      </c>
      <c r="V16" s="195">
        <v>177305</v>
      </c>
      <c r="W16" s="195">
        <v>192525</v>
      </c>
      <c r="X16" s="196">
        <f t="shared" si="8"/>
        <v>8.5840782831843487E-2</v>
      </c>
      <c r="Y16" s="212">
        <f t="shared" si="3"/>
        <v>2.9463165662280164</v>
      </c>
      <c r="Z16" s="196">
        <f t="shared" si="0"/>
        <v>4.4065553700111178E-2</v>
      </c>
    </row>
    <row r="17" spans="1:26" x14ac:dyDescent="0.25">
      <c r="A17" s="193" t="s">
        <v>125</v>
      </c>
      <c r="B17" s="194" t="s">
        <v>125</v>
      </c>
      <c r="C17" s="195">
        <v>4317</v>
      </c>
      <c r="D17" s="195">
        <v>10076</v>
      </c>
      <c r="E17" s="195">
        <v>19335</v>
      </c>
      <c r="F17" s="195">
        <v>14809</v>
      </c>
      <c r="G17" s="195">
        <v>14135</v>
      </c>
      <c r="H17" s="196">
        <f t="shared" si="4"/>
        <v>-4.551286379904107E-2</v>
      </c>
      <c r="I17" s="212">
        <f t="shared" si="1"/>
        <v>2.2742645355570996</v>
      </c>
      <c r="J17" s="196">
        <f t="shared" si="5"/>
        <v>1.8627851504329145E-2</v>
      </c>
      <c r="K17" s="195">
        <v>23237</v>
      </c>
      <c r="L17" s="195">
        <v>56946</v>
      </c>
      <c r="M17" s="195">
        <v>104116</v>
      </c>
      <c r="N17" s="195">
        <v>102844</v>
      </c>
      <c r="O17" s="195">
        <v>113442</v>
      </c>
      <c r="P17" s="196">
        <f t="shared" si="6"/>
        <v>0.10304927851892187</v>
      </c>
      <c r="Q17" s="212">
        <f t="shared" si="2"/>
        <v>3.8819555020011185</v>
      </c>
      <c r="R17" s="196">
        <f t="shared" si="7"/>
        <v>3.2220243522124048E-2</v>
      </c>
      <c r="S17" s="195">
        <v>27554</v>
      </c>
      <c r="T17" s="195">
        <v>67022</v>
      </c>
      <c r="U17" s="195">
        <v>123451</v>
      </c>
      <c r="V17" s="195">
        <v>117653</v>
      </c>
      <c r="W17" s="195">
        <v>127577</v>
      </c>
      <c r="X17" s="196">
        <f t="shared" si="8"/>
        <v>8.4349740338112822E-2</v>
      </c>
      <c r="Y17" s="212">
        <f t="shared" si="3"/>
        <v>3.6300718588952599</v>
      </c>
      <c r="Z17" s="196">
        <f t="shared" si="0"/>
        <v>3.2686034187540861E-2</v>
      </c>
    </row>
    <row r="18" spans="1:26" x14ac:dyDescent="0.25">
      <c r="A18" s="193" t="s">
        <v>121</v>
      </c>
      <c r="B18" s="194" t="s">
        <v>121</v>
      </c>
      <c r="C18" s="195">
        <v>5016</v>
      </c>
      <c r="D18" s="195">
        <v>6294</v>
      </c>
      <c r="E18" s="195">
        <v>10411</v>
      </c>
      <c r="F18" s="195">
        <v>10569</v>
      </c>
      <c r="G18" s="195">
        <v>9946</v>
      </c>
      <c r="H18" s="196">
        <f t="shared" si="4"/>
        <v>-5.8945974075125362E-2</v>
      </c>
      <c r="I18" s="212">
        <f t="shared" si="1"/>
        <v>0.98285486443381176</v>
      </c>
      <c r="J18" s="196">
        <f t="shared" si="5"/>
        <v>1.3107365480159724E-2</v>
      </c>
      <c r="K18" s="195">
        <v>43640</v>
      </c>
      <c r="L18" s="195">
        <v>77431</v>
      </c>
      <c r="M18" s="195">
        <v>120097</v>
      </c>
      <c r="N18" s="195">
        <v>123841</v>
      </c>
      <c r="O18" s="195">
        <v>130344</v>
      </c>
      <c r="P18" s="196">
        <f t="shared" si="6"/>
        <v>5.2510880887589817E-2</v>
      </c>
      <c r="Q18" s="212">
        <f t="shared" si="2"/>
        <v>1.986801099908341</v>
      </c>
      <c r="R18" s="196">
        <f t="shared" si="7"/>
        <v>3.702081611438212E-2</v>
      </c>
      <c r="S18" s="195">
        <v>48656</v>
      </c>
      <c r="T18" s="195">
        <v>83725</v>
      </c>
      <c r="U18" s="195">
        <v>130508</v>
      </c>
      <c r="V18" s="195">
        <v>134410</v>
      </c>
      <c r="W18" s="195">
        <v>140290</v>
      </c>
      <c r="X18" s="196">
        <f t="shared" si="8"/>
        <v>4.3746745033851564E-2</v>
      </c>
      <c r="Y18" s="212">
        <f t="shared" si="3"/>
        <v>1.883303189740217</v>
      </c>
      <c r="Z18" s="196">
        <f t="shared" si="0"/>
        <v>3.4554511099525981E-2</v>
      </c>
    </row>
    <row r="19" spans="1:26" x14ac:dyDescent="0.25">
      <c r="A19" s="193" t="s">
        <v>130</v>
      </c>
      <c r="B19" s="194" t="s">
        <v>130</v>
      </c>
      <c r="C19" s="195">
        <v>3325</v>
      </c>
      <c r="D19" s="195">
        <v>2149</v>
      </c>
      <c r="E19" s="195">
        <v>5595</v>
      </c>
      <c r="F19" s="195">
        <v>6021</v>
      </c>
      <c r="G19" s="195">
        <v>5523</v>
      </c>
      <c r="H19" s="196">
        <f t="shared" si="4"/>
        <v>-8.2710513203786751E-2</v>
      </c>
      <c r="I19" s="212">
        <f t="shared" si="1"/>
        <v>0.66105263157894734</v>
      </c>
      <c r="J19" s="196">
        <f t="shared" si="5"/>
        <v>7.2785018647619302E-3</v>
      </c>
      <c r="K19" s="195">
        <v>14961</v>
      </c>
      <c r="L19" s="195">
        <v>12822</v>
      </c>
      <c r="M19" s="195">
        <v>35340</v>
      </c>
      <c r="N19" s="195">
        <v>38436</v>
      </c>
      <c r="O19" s="195">
        <v>36028</v>
      </c>
      <c r="P19" s="196">
        <f t="shared" si="6"/>
        <v>-6.2649599333957751E-2</v>
      </c>
      <c r="Q19" s="212">
        <f t="shared" si="2"/>
        <v>1.4081277989439207</v>
      </c>
      <c r="R19" s="196">
        <f t="shared" si="7"/>
        <v>1.0232814421599453E-2</v>
      </c>
      <c r="S19" s="195">
        <v>18286</v>
      </c>
      <c r="T19" s="195">
        <v>14971</v>
      </c>
      <c r="U19" s="195">
        <v>40935</v>
      </c>
      <c r="V19" s="195">
        <v>44457</v>
      </c>
      <c r="W19" s="195">
        <v>41551</v>
      </c>
      <c r="X19" s="196">
        <f t="shared" si="8"/>
        <v>-6.5366533954157924E-2</v>
      </c>
      <c r="Y19" s="212">
        <f t="shared" si="3"/>
        <v>1.2722848080498741</v>
      </c>
      <c r="Z19" s="196">
        <f t="shared" si="0"/>
        <v>1.0838331074409967E-2</v>
      </c>
    </row>
    <row r="20" spans="1:26" x14ac:dyDescent="0.25">
      <c r="A20" s="193" t="s">
        <v>133</v>
      </c>
      <c r="B20" s="194" t="s">
        <v>133</v>
      </c>
      <c r="C20" s="195">
        <v>3428</v>
      </c>
      <c r="D20" s="195">
        <v>1763</v>
      </c>
      <c r="E20" s="195">
        <v>3453</v>
      </c>
      <c r="F20" s="195">
        <v>4406</v>
      </c>
      <c r="G20" s="195">
        <v>3638</v>
      </c>
      <c r="H20" s="196">
        <f t="shared" si="4"/>
        <v>-0.17430776214253296</v>
      </c>
      <c r="I20" s="212">
        <f t="shared" si="1"/>
        <v>6.1260210035005924E-2</v>
      </c>
      <c r="J20" s="196">
        <f t="shared" si="5"/>
        <v>4.7943490465333881E-3</v>
      </c>
      <c r="K20" s="195">
        <v>22112</v>
      </c>
      <c r="L20" s="195">
        <v>10721</v>
      </c>
      <c r="M20" s="195">
        <v>31821</v>
      </c>
      <c r="N20" s="195">
        <v>40312</v>
      </c>
      <c r="O20" s="195">
        <v>37135</v>
      </c>
      <c r="P20" s="196">
        <f t="shared" si="6"/>
        <v>-7.8810279817424056E-2</v>
      </c>
      <c r="Q20" s="212">
        <f t="shared" si="2"/>
        <v>0.67940484804630974</v>
      </c>
      <c r="R20" s="196">
        <f t="shared" si="7"/>
        <v>1.0547228920453415E-2</v>
      </c>
      <c r="S20" s="195">
        <v>25540</v>
      </c>
      <c r="T20" s="195">
        <v>12484</v>
      </c>
      <c r="U20" s="195">
        <v>35274</v>
      </c>
      <c r="V20" s="195">
        <v>44718</v>
      </c>
      <c r="W20" s="195">
        <v>40773</v>
      </c>
      <c r="X20" s="196">
        <f t="shared" si="8"/>
        <v>-8.8219508922581458E-2</v>
      </c>
      <c r="Y20" s="212">
        <f t="shared" si="3"/>
        <v>0.59643696162881743</v>
      </c>
      <c r="Z20" s="196">
        <f t="shared" si="0"/>
        <v>9.3394720976850421E-3</v>
      </c>
    </row>
    <row r="21" spans="1:26" x14ac:dyDescent="0.25">
      <c r="A21" s="198" t="s">
        <v>147</v>
      </c>
      <c r="B21" s="199" t="s">
        <v>147</v>
      </c>
      <c r="C21" s="200">
        <f>C13-SUM(C14:C20)</f>
        <v>57355</v>
      </c>
      <c r="D21" s="200">
        <f>D13-SUM(D14:D20)</f>
        <v>81543</v>
      </c>
      <c r="E21" s="200">
        <f>E13-SUM(E14:E20)</f>
        <v>177894</v>
      </c>
      <c r="F21" s="200">
        <f>F13-SUM(F14:F20)</f>
        <v>183064</v>
      </c>
      <c r="G21" s="200">
        <f>G13-SUM(G14:G20)</f>
        <v>201552</v>
      </c>
      <c r="H21" s="201">
        <f t="shared" si="4"/>
        <v>0.10099200279683607</v>
      </c>
      <c r="I21" s="213">
        <f t="shared" si="1"/>
        <v>2.5141138523232498</v>
      </c>
      <c r="J21" s="201">
        <f t="shared" si="5"/>
        <v>0.26561589857803664</v>
      </c>
      <c r="K21" s="200">
        <f>K13-SUM(K14:K20)</f>
        <v>163673</v>
      </c>
      <c r="L21" s="200">
        <f>L13-SUM(L14:L20)</f>
        <v>293055</v>
      </c>
      <c r="M21" s="200">
        <f>M13-SUM(M14:M20)</f>
        <v>583188</v>
      </c>
      <c r="N21" s="200">
        <f>N13-SUM(N14:N20)</f>
        <v>664101</v>
      </c>
      <c r="O21" s="200">
        <f>O13-SUM(O14:O20)</f>
        <v>724051</v>
      </c>
      <c r="P21" s="201">
        <f t="shared" si="6"/>
        <v>9.0272413382904038E-2</v>
      </c>
      <c r="Q21" s="213">
        <f t="shared" si="2"/>
        <v>3.4237656791285058</v>
      </c>
      <c r="R21" s="201">
        <f t="shared" si="7"/>
        <v>0.2056478159979323</v>
      </c>
      <c r="S21" s="200">
        <f>S13-SUM(S14:S20)</f>
        <v>221028</v>
      </c>
      <c r="T21" s="200">
        <f>T13-SUM(T14:T20)</f>
        <v>374598</v>
      </c>
      <c r="U21" s="200">
        <f>U13-SUM(U14:U20)</f>
        <v>761082</v>
      </c>
      <c r="V21" s="200">
        <f>V13-SUM(V14:V20)</f>
        <v>847165</v>
      </c>
      <c r="W21" s="200">
        <f>W13-SUM(W14:W20)</f>
        <v>925603</v>
      </c>
      <c r="X21" s="201">
        <f t="shared" si="8"/>
        <v>9.258881091640947E-2</v>
      </c>
      <c r="Y21" s="213">
        <f t="shared" si="3"/>
        <v>3.1877182981341727</v>
      </c>
      <c r="Z21" s="201">
        <f t="shared" si="0"/>
        <v>0.20151114427199432</v>
      </c>
    </row>
    <row r="22" spans="1:26" x14ac:dyDescent="0.25">
      <c r="A22" s="1"/>
      <c r="B22" s="186" t="s">
        <v>46</v>
      </c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</row>
    <row r="23" spans="1:26" x14ac:dyDescent="0.25">
      <c r="A23" s="1" t="s">
        <v>0</v>
      </c>
      <c r="B23" s="187" t="s">
        <v>70</v>
      </c>
      <c r="C23" s="209">
        <f>C24+C27</f>
        <v>42852</v>
      </c>
      <c r="D23" s="209">
        <f>D24+D27</f>
        <v>64946</v>
      </c>
      <c r="E23" s="209">
        <f>E24+E27</f>
        <v>165265</v>
      </c>
      <c r="F23" s="209">
        <f>F24+F27</f>
        <v>165616</v>
      </c>
      <c r="G23" s="209">
        <f>G24+G27</f>
        <v>152897</v>
      </c>
      <c r="H23" s="210">
        <f>IFERROR(G23/F23-1,"-")</f>
        <v>-7.6798135445850679E-2</v>
      </c>
      <c r="I23" s="210">
        <f t="shared" si="1"/>
        <v>2.568024829646224</v>
      </c>
      <c r="J23" s="210">
        <f>G23/G$9</f>
        <v>0.20149576310275299</v>
      </c>
      <c r="K23" s="209">
        <f>K24+K27</f>
        <v>398770</v>
      </c>
      <c r="L23" s="209">
        <f>L24+L27</f>
        <v>687822</v>
      </c>
      <c r="M23" s="209">
        <f>M24+M27</f>
        <v>1325364</v>
      </c>
      <c r="N23" s="209">
        <f>N24+N27</f>
        <v>1377487</v>
      </c>
      <c r="O23" s="209">
        <f>O24+O27</f>
        <v>1420992</v>
      </c>
      <c r="P23" s="210">
        <f>IFERROR(O23/N23-1,"-")</f>
        <v>3.158287519228864E-2</v>
      </c>
      <c r="Q23" s="210">
        <f t="shared" ref="Q23:Q86" si="9">IFERROR(O23/K23-1,"-")</f>
        <v>2.5634375705293779</v>
      </c>
      <c r="R23" s="210">
        <f>O23/O$9</f>
        <v>0.40359574304922419</v>
      </c>
      <c r="S23" s="209">
        <f>S24+S27</f>
        <v>441622</v>
      </c>
      <c r="T23" s="209">
        <f>T24+T27</f>
        <v>752768</v>
      </c>
      <c r="U23" s="209">
        <f>U24+U27</f>
        <v>1490629</v>
      </c>
      <c r="V23" s="209">
        <f>V24+V27</f>
        <v>1543103</v>
      </c>
      <c r="W23" s="209">
        <f>W24+W27</f>
        <v>1573889</v>
      </c>
      <c r="X23" s="210">
        <f>IFERROR(W23/V23-1,"-")</f>
        <v>1.9950709706351377E-2</v>
      </c>
      <c r="Y23" s="210">
        <f t="shared" ref="Y23:Y86" si="10">IFERROR(W23/S23-1,"-")</f>
        <v>2.5638826870038178</v>
      </c>
      <c r="Z23" s="210">
        <f t="shared" ref="Z23:Z35" si="11">U23/U$9</f>
        <v>0.39467278883880924</v>
      </c>
    </row>
    <row r="24" spans="1:26" x14ac:dyDescent="0.25">
      <c r="A24" s="1" t="s">
        <v>98</v>
      </c>
      <c r="B24" s="190" t="s">
        <v>99</v>
      </c>
      <c r="C24" s="191">
        <v>2953</v>
      </c>
      <c r="D24" s="191">
        <v>8952</v>
      </c>
      <c r="E24" s="191">
        <v>12689</v>
      </c>
      <c r="F24" s="191">
        <v>11581</v>
      </c>
      <c r="G24" s="191">
        <v>7728</v>
      </c>
      <c r="H24" s="192">
        <f>IFERROR(G24/F24-1,"-")</f>
        <v>-0.33270011225282792</v>
      </c>
      <c r="I24" s="211">
        <f t="shared" si="1"/>
        <v>1.6169996613613273</v>
      </c>
      <c r="J24" s="192">
        <f>G24/G$9</f>
        <v>1.0184367628260039E-2</v>
      </c>
      <c r="K24" s="191">
        <v>90143</v>
      </c>
      <c r="L24" s="191">
        <v>198275</v>
      </c>
      <c r="M24" s="191">
        <v>161372</v>
      </c>
      <c r="N24" s="191">
        <v>131261</v>
      </c>
      <c r="O24" s="191">
        <v>120636</v>
      </c>
      <c r="P24" s="192">
        <f>IFERROR(O24/N24-1,"-")</f>
        <v>-8.0945596940446896E-2</v>
      </c>
      <c r="Q24" s="211">
        <f t="shared" si="9"/>
        <v>0.33827363189598758</v>
      </c>
      <c r="R24" s="192">
        <f>O24/O$9</f>
        <v>3.42635117287685E-2</v>
      </c>
      <c r="S24" s="191">
        <v>93096</v>
      </c>
      <c r="T24" s="191">
        <v>207227</v>
      </c>
      <c r="U24" s="191">
        <v>174061</v>
      </c>
      <c r="V24" s="191">
        <v>142842</v>
      </c>
      <c r="W24" s="191">
        <v>128364</v>
      </c>
      <c r="X24" s="192">
        <f>IFERROR(W24/V24-1,"-")</f>
        <v>-0.10135674381484439</v>
      </c>
      <c r="Y24" s="211">
        <f t="shared" si="10"/>
        <v>0.37883475122454247</v>
      </c>
      <c r="Z24" s="192">
        <f t="shared" si="11"/>
        <v>4.6086008187196124E-2</v>
      </c>
    </row>
    <row r="25" spans="1:26" x14ac:dyDescent="0.25">
      <c r="A25" s="193" t="s">
        <v>105</v>
      </c>
      <c r="B25" s="194" t="s">
        <v>105</v>
      </c>
      <c r="C25" s="195">
        <v>1786</v>
      </c>
      <c r="D25" s="195">
        <v>4418</v>
      </c>
      <c r="E25" s="195">
        <v>6088</v>
      </c>
      <c r="F25" s="195">
        <v>5359</v>
      </c>
      <c r="G25" s="195">
        <v>2401</v>
      </c>
      <c r="H25" s="196">
        <f>IFERROR(G25/F25-1,"-")</f>
        <v>-0.5519686508676992</v>
      </c>
      <c r="I25" s="212">
        <f t="shared" si="1"/>
        <v>0.34434490481522961</v>
      </c>
      <c r="J25" s="196">
        <f>G25/G$9</f>
        <v>3.1641649424757187E-3</v>
      </c>
      <c r="K25" s="195">
        <v>45044</v>
      </c>
      <c r="L25" s="195">
        <v>92809</v>
      </c>
      <c r="M25" s="195">
        <v>62381</v>
      </c>
      <c r="N25" s="195">
        <v>49573</v>
      </c>
      <c r="O25" s="195">
        <v>41582</v>
      </c>
      <c r="P25" s="196">
        <f>IFERROR(O25/N25-1,"-")</f>
        <v>-0.16119661912734751</v>
      </c>
      <c r="Q25" s="212">
        <f t="shared" si="9"/>
        <v>-7.6858183109848155E-2</v>
      </c>
      <c r="R25" s="196">
        <f>O25/O$9</f>
        <v>1.1810283370682481E-2</v>
      </c>
      <c r="S25" s="195">
        <v>46830</v>
      </c>
      <c r="T25" s="195">
        <v>97227</v>
      </c>
      <c r="U25" s="195">
        <v>68469</v>
      </c>
      <c r="V25" s="195">
        <v>54932</v>
      </c>
      <c r="W25" s="195">
        <v>43983</v>
      </c>
      <c r="X25" s="196">
        <f>IFERROR(W25/V25-1,"-")</f>
        <v>-0.19931915823199597</v>
      </c>
      <c r="Y25" s="212">
        <f t="shared" si="10"/>
        <v>-6.0794362588084572E-2</v>
      </c>
      <c r="Z25" s="196">
        <f t="shared" si="11"/>
        <v>1.812848883189877E-2</v>
      </c>
    </row>
    <row r="26" spans="1:26" x14ac:dyDescent="0.25">
      <c r="A26" s="193" t="s">
        <v>102</v>
      </c>
      <c r="B26" s="194" t="s">
        <v>102</v>
      </c>
      <c r="C26" s="195">
        <v>1167</v>
      </c>
      <c r="D26" s="195">
        <v>4534</v>
      </c>
      <c r="E26" s="195">
        <v>6601</v>
      </c>
      <c r="F26" s="195">
        <v>6222</v>
      </c>
      <c r="G26" s="195">
        <v>5327</v>
      </c>
      <c r="H26" s="196">
        <f>IFERROR(G26/F26-1,"-")</f>
        <v>-0.14384442301510769</v>
      </c>
      <c r="I26" s="212">
        <f t="shared" si="1"/>
        <v>3.5646958011996572</v>
      </c>
      <c r="J26" s="196">
        <f>G26/G$9</f>
        <v>7.0202026857843205E-3</v>
      </c>
      <c r="K26" s="195">
        <v>45099</v>
      </c>
      <c r="L26" s="195">
        <v>105466</v>
      </c>
      <c r="M26" s="195">
        <v>98991</v>
      </c>
      <c r="N26" s="195">
        <v>81688</v>
      </c>
      <c r="O26" s="195">
        <v>79054</v>
      </c>
      <c r="P26" s="196">
        <f>IFERROR(O26/N26-1,"-")</f>
        <v>-3.2244638135344283E-2</v>
      </c>
      <c r="Q26" s="212">
        <f t="shared" si="9"/>
        <v>0.75289917736535172</v>
      </c>
      <c r="R26" s="196">
        <f>O26/O$9</f>
        <v>2.2453228358086018E-2</v>
      </c>
      <c r="S26" s="195">
        <v>46266</v>
      </c>
      <c r="T26" s="195">
        <v>110000</v>
      </c>
      <c r="U26" s="195">
        <v>105592</v>
      </c>
      <c r="V26" s="195">
        <v>87910</v>
      </c>
      <c r="W26" s="195">
        <v>84381</v>
      </c>
      <c r="X26" s="196">
        <f>IFERROR(W26/V26-1,"-")</f>
        <v>-4.014332840404955E-2</v>
      </c>
      <c r="Y26" s="212">
        <f t="shared" si="10"/>
        <v>0.82382310984308127</v>
      </c>
      <c r="Z26" s="196">
        <f t="shared" si="11"/>
        <v>2.7957519355297358E-2</v>
      </c>
    </row>
    <row r="27" spans="1:26" x14ac:dyDescent="0.25">
      <c r="A27" s="1" t="s">
        <v>148</v>
      </c>
      <c r="B27" s="190" t="s">
        <v>109</v>
      </c>
      <c r="C27" s="191">
        <v>39899</v>
      </c>
      <c r="D27" s="191">
        <v>55994</v>
      </c>
      <c r="E27" s="191">
        <v>152576</v>
      </c>
      <c r="F27" s="191">
        <v>154035</v>
      </c>
      <c r="G27" s="191">
        <v>145169</v>
      </c>
      <c r="H27" s="192">
        <f>IFERROR(G27/F27-1,"-")</f>
        <v>-5.755834712889929E-2</v>
      </c>
      <c r="I27" s="211">
        <f t="shared" si="1"/>
        <v>2.6384119902754457</v>
      </c>
      <c r="J27" s="192">
        <f>G27/G$9</f>
        <v>0.19131139547449297</v>
      </c>
      <c r="K27" s="191">
        <v>308627</v>
      </c>
      <c r="L27" s="191">
        <v>489547</v>
      </c>
      <c r="M27" s="191">
        <v>1163992</v>
      </c>
      <c r="N27" s="191">
        <v>1246226</v>
      </c>
      <c r="O27" s="191">
        <v>1300356</v>
      </c>
      <c r="P27" s="192">
        <f>IFERROR(O27/N27-1,"-")</f>
        <v>4.3435139372794307E-2</v>
      </c>
      <c r="Q27" s="211">
        <f t="shared" si="9"/>
        <v>3.2133578721239555</v>
      </c>
      <c r="R27" s="192">
        <f>O27/O$9</f>
        <v>0.36933223132045567</v>
      </c>
      <c r="S27" s="191">
        <v>348526</v>
      </c>
      <c r="T27" s="191">
        <v>545541</v>
      </c>
      <c r="U27" s="191">
        <v>1316568</v>
      </c>
      <c r="V27" s="191">
        <v>1400261</v>
      </c>
      <c r="W27" s="191">
        <v>1445525</v>
      </c>
      <c r="X27" s="192">
        <f>IFERROR(W27/V27-1,"-")</f>
        <v>3.232540219287694E-2</v>
      </c>
      <c r="Y27" s="211">
        <f t="shared" si="10"/>
        <v>3.1475384906721446</v>
      </c>
      <c r="Z27" s="192">
        <f t="shared" si="11"/>
        <v>0.34858678065161314</v>
      </c>
    </row>
    <row r="28" spans="1:26" x14ac:dyDescent="0.25">
      <c r="A28" s="193" t="s">
        <v>112</v>
      </c>
      <c r="B28" s="194" t="s">
        <v>112</v>
      </c>
      <c r="C28" s="195">
        <v>14793</v>
      </c>
      <c r="D28" s="195">
        <v>16270</v>
      </c>
      <c r="E28" s="195">
        <v>66823</v>
      </c>
      <c r="F28" s="195">
        <v>69319</v>
      </c>
      <c r="G28" s="195">
        <v>63618</v>
      </c>
      <c r="H28" s="196">
        <f t="shared" ref="H28:H35" si="12">IFERROR(G28/F28-1,"-")</f>
        <v>-8.2242963689608928E-2</v>
      </c>
      <c r="I28" s="212">
        <f t="shared" si="1"/>
        <v>3.3005475562766176</v>
      </c>
      <c r="J28" s="196">
        <f t="shared" ref="J28:J35" si="13">G28/G$9</f>
        <v>8.383916922549782E-2</v>
      </c>
      <c r="K28" s="195">
        <v>128801</v>
      </c>
      <c r="L28" s="195">
        <v>159037</v>
      </c>
      <c r="M28" s="195">
        <v>590382</v>
      </c>
      <c r="N28" s="195">
        <v>640574</v>
      </c>
      <c r="O28" s="195">
        <v>669764</v>
      </c>
      <c r="P28" s="196">
        <f t="shared" ref="P28:P35" si="14">IFERROR(O28/N28-1,"-")</f>
        <v>4.5568505746408583E-2</v>
      </c>
      <c r="Q28" s="212">
        <f t="shared" si="9"/>
        <v>4.1999906833021479</v>
      </c>
      <c r="R28" s="196">
        <f t="shared" ref="R28:R35" si="15">O28/O$9</f>
        <v>0.19022900850083646</v>
      </c>
      <c r="S28" s="195">
        <v>143594</v>
      </c>
      <c r="T28" s="195">
        <v>175307</v>
      </c>
      <c r="U28" s="195">
        <v>657205</v>
      </c>
      <c r="V28" s="195">
        <v>709893</v>
      </c>
      <c r="W28" s="195">
        <v>733382</v>
      </c>
      <c r="X28" s="196">
        <f t="shared" ref="X28:X35" si="16">IFERROR(W28/V28-1,"-")</f>
        <v>3.3088085105783538E-2</v>
      </c>
      <c r="Y28" s="212">
        <f t="shared" si="10"/>
        <v>4.1073303898491584</v>
      </c>
      <c r="Z28" s="196">
        <f t="shared" si="11"/>
        <v>0.17400770425693424</v>
      </c>
    </row>
    <row r="29" spans="1:26" x14ac:dyDescent="0.25">
      <c r="A29" s="193" t="s">
        <v>115</v>
      </c>
      <c r="B29" s="194" t="s">
        <v>115</v>
      </c>
      <c r="C29" s="195">
        <v>7836</v>
      </c>
      <c r="D29" s="195">
        <v>14336</v>
      </c>
      <c r="E29" s="195">
        <v>27397</v>
      </c>
      <c r="F29" s="195">
        <v>30224</v>
      </c>
      <c r="G29" s="195">
        <v>29376</v>
      </c>
      <c r="H29" s="196">
        <f t="shared" si="12"/>
        <v>-2.8057173107464251E-2</v>
      </c>
      <c r="I29" s="212">
        <f t="shared" si="1"/>
        <v>2.7488514548238898</v>
      </c>
      <c r="J29" s="196">
        <f t="shared" si="13"/>
        <v>3.8713248375746231E-2</v>
      </c>
      <c r="K29" s="195">
        <v>41673</v>
      </c>
      <c r="L29" s="195">
        <v>81095</v>
      </c>
      <c r="M29" s="195">
        <v>128496</v>
      </c>
      <c r="N29" s="195">
        <v>137331</v>
      </c>
      <c r="O29" s="195">
        <v>137486</v>
      </c>
      <c r="P29" s="196">
        <f t="shared" si="14"/>
        <v>1.1286599529602981E-3</v>
      </c>
      <c r="Q29" s="212">
        <f t="shared" si="9"/>
        <v>2.2991625272958509</v>
      </c>
      <c r="R29" s="196">
        <f t="shared" si="15"/>
        <v>3.9049315076274627E-2</v>
      </c>
      <c r="S29" s="195">
        <v>49509</v>
      </c>
      <c r="T29" s="195">
        <v>95431</v>
      </c>
      <c r="U29" s="195">
        <v>155893</v>
      </c>
      <c r="V29" s="195">
        <v>167555</v>
      </c>
      <c r="W29" s="195">
        <v>166862</v>
      </c>
      <c r="X29" s="196">
        <f t="shared" si="16"/>
        <v>-4.1359553579422004E-3</v>
      </c>
      <c r="Y29" s="212">
        <f t="shared" si="10"/>
        <v>2.3703367064574117</v>
      </c>
      <c r="Z29" s="196">
        <f t="shared" si="11"/>
        <v>4.1275679642921538E-2</v>
      </c>
    </row>
    <row r="30" spans="1:26" x14ac:dyDescent="0.25">
      <c r="A30" s="193" t="s">
        <v>118</v>
      </c>
      <c r="B30" s="194" t="s">
        <v>118</v>
      </c>
      <c r="C30" s="195">
        <v>3230</v>
      </c>
      <c r="D30" s="195">
        <v>4987</v>
      </c>
      <c r="E30" s="195">
        <v>4132</v>
      </c>
      <c r="F30" s="195">
        <v>2982</v>
      </c>
      <c r="G30" s="195">
        <v>3034</v>
      </c>
      <c r="H30" s="196">
        <f t="shared" si="12"/>
        <v>1.7437961099932897E-2</v>
      </c>
      <c r="I30" s="212">
        <f t="shared" si="1"/>
        <v>-6.0681114551083604E-2</v>
      </c>
      <c r="J30" s="196">
        <f t="shared" si="13"/>
        <v>3.9983658623370805E-3</v>
      </c>
      <c r="K30" s="195">
        <v>13936</v>
      </c>
      <c r="L30" s="195">
        <v>30800</v>
      </c>
      <c r="M30" s="195">
        <v>48228</v>
      </c>
      <c r="N30" s="195">
        <v>43489</v>
      </c>
      <c r="O30" s="195">
        <v>39137</v>
      </c>
      <c r="P30" s="196">
        <f t="shared" si="14"/>
        <v>-0.10007128239324892</v>
      </c>
      <c r="Q30" s="212">
        <f t="shared" si="9"/>
        <v>1.8083381171067736</v>
      </c>
      <c r="R30" s="196">
        <f t="shared" si="15"/>
        <v>1.1115844843403402E-2</v>
      </c>
      <c r="S30" s="195">
        <v>17166</v>
      </c>
      <c r="T30" s="195">
        <v>35787</v>
      </c>
      <c r="U30" s="195">
        <v>52360</v>
      </c>
      <c r="V30" s="195">
        <v>46471</v>
      </c>
      <c r="W30" s="195">
        <v>42171</v>
      </c>
      <c r="X30" s="196">
        <f t="shared" si="16"/>
        <v>-9.2530825676228168E-2</v>
      </c>
      <c r="Y30" s="212">
        <f t="shared" si="10"/>
        <v>1.4566585110101364</v>
      </c>
      <c r="Z30" s="196">
        <f t="shared" si="11"/>
        <v>1.3863320265203516E-2</v>
      </c>
    </row>
    <row r="31" spans="1:26" x14ac:dyDescent="0.25">
      <c r="A31" s="193" t="s">
        <v>125</v>
      </c>
      <c r="B31" s="194" t="s">
        <v>125</v>
      </c>
      <c r="C31" s="195">
        <v>1736</v>
      </c>
      <c r="D31" s="195">
        <v>3938</v>
      </c>
      <c r="E31" s="195">
        <v>7950</v>
      </c>
      <c r="F31" s="195">
        <v>4040</v>
      </c>
      <c r="G31" s="195">
        <v>3255</v>
      </c>
      <c r="H31" s="196">
        <f t="shared" si="12"/>
        <v>-0.19430693069306926</v>
      </c>
      <c r="I31" s="212">
        <f t="shared" si="1"/>
        <v>0.875</v>
      </c>
      <c r="J31" s="196">
        <f t="shared" si="13"/>
        <v>4.2896113651638753E-3</v>
      </c>
      <c r="K31" s="195">
        <v>12314</v>
      </c>
      <c r="L31" s="195">
        <v>32115</v>
      </c>
      <c r="M31" s="195">
        <v>56445</v>
      </c>
      <c r="N31" s="195">
        <v>53434</v>
      </c>
      <c r="O31" s="195">
        <v>57796</v>
      </c>
      <c r="P31" s="196">
        <f t="shared" si="14"/>
        <v>8.1633416925553037E-2</v>
      </c>
      <c r="Q31" s="212">
        <f t="shared" si="9"/>
        <v>3.6935195712197499</v>
      </c>
      <c r="R31" s="196">
        <f t="shared" si="15"/>
        <v>1.6415447493914787E-2</v>
      </c>
      <c r="S31" s="195">
        <v>14050</v>
      </c>
      <c r="T31" s="195">
        <v>36053</v>
      </c>
      <c r="U31" s="195">
        <v>64395</v>
      </c>
      <c r="V31" s="195">
        <v>57474</v>
      </c>
      <c r="W31" s="195">
        <v>61051</v>
      </c>
      <c r="X31" s="196">
        <f t="shared" si="16"/>
        <v>6.2236837526533639E-2</v>
      </c>
      <c r="Y31" s="212">
        <f t="shared" si="10"/>
        <v>3.3452669039145908</v>
      </c>
      <c r="Z31" s="196">
        <f t="shared" si="11"/>
        <v>1.7049818725702454E-2</v>
      </c>
    </row>
    <row r="32" spans="1:26" x14ac:dyDescent="0.25">
      <c r="A32" s="193" t="s">
        <v>121</v>
      </c>
      <c r="B32" s="194" t="s">
        <v>121</v>
      </c>
      <c r="C32" s="195">
        <v>1403</v>
      </c>
      <c r="D32" s="195">
        <v>2232</v>
      </c>
      <c r="E32" s="195">
        <v>4497</v>
      </c>
      <c r="F32" s="195">
        <v>3231</v>
      </c>
      <c r="G32" s="195">
        <v>2567</v>
      </c>
      <c r="H32" s="196">
        <f t="shared" si="12"/>
        <v>-0.20550913030021667</v>
      </c>
      <c r="I32" s="212">
        <f t="shared" si="1"/>
        <v>0.8296507483962936</v>
      </c>
      <c r="J32" s="196">
        <f t="shared" si="13"/>
        <v>3.3829285328343065E-3</v>
      </c>
      <c r="K32" s="195">
        <v>25064</v>
      </c>
      <c r="L32" s="195">
        <v>46414</v>
      </c>
      <c r="M32" s="195">
        <v>73182</v>
      </c>
      <c r="N32" s="195">
        <v>71382</v>
      </c>
      <c r="O32" s="195">
        <v>73828</v>
      </c>
      <c r="P32" s="196">
        <f t="shared" si="14"/>
        <v>3.4266341654758836E-2</v>
      </c>
      <c r="Q32" s="212">
        <f t="shared" si="9"/>
        <v>1.9455793169486117</v>
      </c>
      <c r="R32" s="196">
        <f t="shared" si="15"/>
        <v>2.0968919260515275E-2</v>
      </c>
      <c r="S32" s="195">
        <v>26467</v>
      </c>
      <c r="T32" s="195">
        <v>48646</v>
      </c>
      <c r="U32" s="195">
        <v>77679</v>
      </c>
      <c r="V32" s="195">
        <v>74613</v>
      </c>
      <c r="W32" s="195">
        <v>76395</v>
      </c>
      <c r="X32" s="196">
        <f t="shared" si="16"/>
        <v>2.3883237505528454E-2</v>
      </c>
      <c r="Y32" s="212">
        <f t="shared" si="10"/>
        <v>1.8864246042241279</v>
      </c>
      <c r="Z32" s="196">
        <f t="shared" si="11"/>
        <v>2.0567014035155536E-2</v>
      </c>
    </row>
    <row r="33" spans="1:26" x14ac:dyDescent="0.25">
      <c r="A33" s="193" t="s">
        <v>130</v>
      </c>
      <c r="B33" s="194" t="s">
        <v>130</v>
      </c>
      <c r="C33" s="195">
        <v>1376</v>
      </c>
      <c r="D33" s="195">
        <v>590</v>
      </c>
      <c r="E33" s="195">
        <v>1708</v>
      </c>
      <c r="F33" s="195">
        <v>2116</v>
      </c>
      <c r="G33" s="195">
        <v>2577</v>
      </c>
      <c r="H33" s="196">
        <f t="shared" si="12"/>
        <v>0.21786389413988649</v>
      </c>
      <c r="I33" s="212">
        <f t="shared" si="1"/>
        <v>0.87281976744186052</v>
      </c>
      <c r="J33" s="196">
        <f t="shared" si="13"/>
        <v>3.3961070623739803E-3</v>
      </c>
      <c r="K33" s="195">
        <v>8223</v>
      </c>
      <c r="L33" s="195">
        <v>5697</v>
      </c>
      <c r="M33" s="195">
        <v>18357</v>
      </c>
      <c r="N33" s="195">
        <v>18861</v>
      </c>
      <c r="O33" s="195">
        <v>18273</v>
      </c>
      <c r="P33" s="196">
        <f t="shared" si="14"/>
        <v>-3.1175441386989022E-2</v>
      </c>
      <c r="Q33" s="212">
        <f t="shared" si="9"/>
        <v>1.2221816855162349</v>
      </c>
      <c r="R33" s="196">
        <f t="shared" si="15"/>
        <v>5.1899694106219271E-3</v>
      </c>
      <c r="S33" s="195">
        <v>9599</v>
      </c>
      <c r="T33" s="195">
        <v>6287</v>
      </c>
      <c r="U33" s="195">
        <v>20065</v>
      </c>
      <c r="V33" s="195">
        <v>20977</v>
      </c>
      <c r="W33" s="195">
        <v>20850</v>
      </c>
      <c r="X33" s="196">
        <f t="shared" si="16"/>
        <v>-6.054249892739616E-3</v>
      </c>
      <c r="Y33" s="212">
        <f t="shared" si="10"/>
        <v>1.1721012605479739</v>
      </c>
      <c r="Z33" s="196">
        <f t="shared" si="11"/>
        <v>5.3125958961288879E-3</v>
      </c>
    </row>
    <row r="34" spans="1:26" x14ac:dyDescent="0.25">
      <c r="A34" s="193" t="s">
        <v>133</v>
      </c>
      <c r="B34" s="194" t="s">
        <v>133</v>
      </c>
      <c r="C34" s="195">
        <v>669</v>
      </c>
      <c r="D34" s="195">
        <v>195</v>
      </c>
      <c r="E34" s="195">
        <v>794</v>
      </c>
      <c r="F34" s="195">
        <v>833</v>
      </c>
      <c r="G34" s="195">
        <v>620</v>
      </c>
      <c r="H34" s="196">
        <f t="shared" si="12"/>
        <v>-0.25570228091236491</v>
      </c>
      <c r="I34" s="212">
        <f t="shared" si="1"/>
        <v>-7.3243647234678577E-2</v>
      </c>
      <c r="J34" s="196">
        <f t="shared" si="13"/>
        <v>8.1706883145978568E-4</v>
      </c>
      <c r="K34" s="195">
        <v>10880</v>
      </c>
      <c r="L34" s="195">
        <v>4211</v>
      </c>
      <c r="M34" s="195">
        <v>16482</v>
      </c>
      <c r="N34" s="195">
        <v>21199</v>
      </c>
      <c r="O34" s="195">
        <v>19378</v>
      </c>
      <c r="P34" s="196">
        <f t="shared" si="14"/>
        <v>-8.59002783150149E-2</v>
      </c>
      <c r="Q34" s="212">
        <f t="shared" si="9"/>
        <v>0.78106617647058818</v>
      </c>
      <c r="R34" s="196">
        <f t="shared" si="15"/>
        <v>5.5038158616008154E-3</v>
      </c>
      <c r="S34" s="195">
        <v>11549</v>
      </c>
      <c r="T34" s="195">
        <v>4406</v>
      </c>
      <c r="U34" s="195">
        <v>17276</v>
      </c>
      <c r="V34" s="195">
        <v>22032</v>
      </c>
      <c r="W34" s="195">
        <v>19998</v>
      </c>
      <c r="X34" s="196">
        <f t="shared" si="16"/>
        <v>-9.2320261437908502E-2</v>
      </c>
      <c r="Y34" s="212">
        <f t="shared" si="10"/>
        <v>0.73157849164429822</v>
      </c>
      <c r="Z34" s="196">
        <f t="shared" si="11"/>
        <v>4.5741543334922828E-3</v>
      </c>
    </row>
    <row r="35" spans="1:26" x14ac:dyDescent="0.25">
      <c r="A35" s="198" t="s">
        <v>147</v>
      </c>
      <c r="B35" s="199" t="s">
        <v>147</v>
      </c>
      <c r="C35" s="200">
        <f>C27-SUM(C28:C34)</f>
        <v>8856</v>
      </c>
      <c r="D35" s="200">
        <f>D27-SUM(D28:D34)</f>
        <v>13446</v>
      </c>
      <c r="E35" s="200">
        <f>E27-SUM(E28:E34)</f>
        <v>39275</v>
      </c>
      <c r="F35" s="200">
        <f>F27-SUM(F28:F34)</f>
        <v>41290</v>
      </c>
      <c r="G35" s="200">
        <f>G27-SUM(G28:G34)</f>
        <v>40122</v>
      </c>
      <c r="H35" s="201">
        <f t="shared" si="12"/>
        <v>-2.8287720997820287E-2</v>
      </c>
      <c r="I35" s="213">
        <f t="shared" si="1"/>
        <v>3.5304878048780486</v>
      </c>
      <c r="J35" s="201">
        <f t="shared" si="13"/>
        <v>5.2874896219079877E-2</v>
      </c>
      <c r="K35" s="200">
        <f>K27-SUM(K28:K34)</f>
        <v>67736</v>
      </c>
      <c r="L35" s="200">
        <f>L27-SUM(L28:L34)</f>
        <v>130178</v>
      </c>
      <c r="M35" s="200">
        <f>M27-SUM(M28:M34)</f>
        <v>232420</v>
      </c>
      <c r="N35" s="200">
        <f>N27-SUM(N28:N34)</f>
        <v>259956</v>
      </c>
      <c r="O35" s="200">
        <f>O27-SUM(O28:O34)</f>
        <v>284694</v>
      </c>
      <c r="P35" s="201">
        <f t="shared" si="14"/>
        <v>9.5162258228315588E-2</v>
      </c>
      <c r="Q35" s="213">
        <f t="shared" si="9"/>
        <v>3.2029939766150939</v>
      </c>
      <c r="R35" s="201">
        <f t="shared" si="15"/>
        <v>8.0859910873288407E-2</v>
      </c>
      <c r="S35" s="200">
        <f>S27-SUM(S28:S34)</f>
        <v>76592</v>
      </c>
      <c r="T35" s="200">
        <f>T27-SUM(T28:T34)</f>
        <v>143624</v>
      </c>
      <c r="U35" s="200">
        <f>U27-SUM(U28:U34)</f>
        <v>271695</v>
      </c>
      <c r="V35" s="200">
        <f>V27-SUM(V28:V34)</f>
        <v>301246</v>
      </c>
      <c r="W35" s="200">
        <f>W27-SUM(W28:W34)</f>
        <v>324816</v>
      </c>
      <c r="X35" s="201">
        <f t="shared" si="16"/>
        <v>7.8241702794394019E-2</v>
      </c>
      <c r="Y35" s="213">
        <f t="shared" si="10"/>
        <v>3.2408606642991433</v>
      </c>
      <c r="Z35" s="201">
        <f t="shared" si="11"/>
        <v>7.1936493496074658E-2</v>
      </c>
    </row>
    <row r="36" spans="1:26" x14ac:dyDescent="0.25">
      <c r="A36" s="1"/>
      <c r="B36" s="186" t="s">
        <v>47</v>
      </c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</row>
    <row r="37" spans="1:26" x14ac:dyDescent="0.25">
      <c r="A37" s="1" t="s">
        <v>0</v>
      </c>
      <c r="B37" s="187" t="s">
        <v>70</v>
      </c>
      <c r="C37" s="209">
        <f>C38+C41</f>
        <v>54285</v>
      </c>
      <c r="D37" s="209">
        <f>D38+D41</f>
        <v>50672</v>
      </c>
      <c r="E37" s="209">
        <f>E38+E41</f>
        <v>179190</v>
      </c>
      <c r="F37" s="209">
        <f>F38+F41</f>
        <v>201287</v>
      </c>
      <c r="G37" s="209">
        <f>G38+G41</f>
        <v>210210</v>
      </c>
      <c r="H37" s="210">
        <f>IFERROR(G37/F37-1,"-")</f>
        <v>4.432973813510066E-2</v>
      </c>
      <c r="I37" s="210">
        <f t="shared" si="1"/>
        <v>2.8723404255319149</v>
      </c>
      <c r="J37" s="210">
        <f>G37/G$9</f>
        <v>0.2770258694534864</v>
      </c>
      <c r="K37" s="209">
        <f>K38+K41</f>
        <v>151994</v>
      </c>
      <c r="L37" s="209">
        <f>L38+L41</f>
        <v>206077</v>
      </c>
      <c r="M37" s="209">
        <f>M38+M41</f>
        <v>573367</v>
      </c>
      <c r="N37" s="209">
        <f>N38+N41</f>
        <v>609226</v>
      </c>
      <c r="O37" s="209">
        <f>O38+O41</f>
        <v>651257</v>
      </c>
      <c r="P37" s="210">
        <f>IFERROR(O37/N37-1,"-")</f>
        <v>6.8990817857412567E-2</v>
      </c>
      <c r="Q37" s="210">
        <f t="shared" si="9"/>
        <v>3.2847546613682121</v>
      </c>
      <c r="R37" s="210">
        <f>O37/O$9</f>
        <v>0.18497257748883075</v>
      </c>
      <c r="S37" s="209">
        <f>S38+S41</f>
        <v>206279</v>
      </c>
      <c r="T37" s="209">
        <f>T38+T41</f>
        <v>256749</v>
      </c>
      <c r="U37" s="209">
        <f>U38+U41</f>
        <v>752557</v>
      </c>
      <c r="V37" s="209">
        <f>V38+V41</f>
        <v>810513</v>
      </c>
      <c r="W37" s="209">
        <f>W38+W41</f>
        <v>861467</v>
      </c>
      <c r="X37" s="210">
        <f>IFERROR(W37/V37-1,"-")</f>
        <v>6.2866357479768986E-2</v>
      </c>
      <c r="Y37" s="210">
        <f t="shared" si="10"/>
        <v>3.1762224947764919</v>
      </c>
      <c r="Z37" s="210">
        <f t="shared" ref="Z37:Z49" si="17">U37/U$9</f>
        <v>0.19925398603553787</v>
      </c>
    </row>
    <row r="38" spans="1:26" x14ac:dyDescent="0.25">
      <c r="A38" s="1" t="s">
        <v>98</v>
      </c>
      <c r="B38" s="190" t="s">
        <v>99</v>
      </c>
      <c r="C38" s="191">
        <v>5529</v>
      </c>
      <c r="D38" s="191">
        <v>6062</v>
      </c>
      <c r="E38" s="191">
        <v>22234</v>
      </c>
      <c r="F38" s="191">
        <v>28331</v>
      </c>
      <c r="G38" s="191">
        <v>31527</v>
      </c>
      <c r="H38" s="192">
        <f>IFERROR(G38/F38-1,"-")</f>
        <v>0.11280929017683805</v>
      </c>
      <c r="I38" s="211">
        <f t="shared" si="1"/>
        <v>4.7021161150298427</v>
      </c>
      <c r="J38" s="192">
        <f>G38/G$9</f>
        <v>4.1547950079730105E-2</v>
      </c>
      <c r="K38" s="191">
        <v>19247</v>
      </c>
      <c r="L38" s="191">
        <v>33772</v>
      </c>
      <c r="M38" s="191">
        <v>60854</v>
      </c>
      <c r="N38" s="191">
        <v>52810</v>
      </c>
      <c r="O38" s="191">
        <v>49280</v>
      </c>
      <c r="P38" s="192">
        <f>IFERROR(O38/N38-1,"-")</f>
        <v>-6.6843400871047121E-2</v>
      </c>
      <c r="Q38" s="211">
        <f t="shared" si="9"/>
        <v>1.5603990232243987</v>
      </c>
      <c r="R38" s="192">
        <f>O38/O$9</f>
        <v>1.3996699641845814E-2</v>
      </c>
      <c r="S38" s="191">
        <v>24776</v>
      </c>
      <c r="T38" s="191">
        <v>39834</v>
      </c>
      <c r="U38" s="191">
        <v>83088</v>
      </c>
      <c r="V38" s="191">
        <v>81141</v>
      </c>
      <c r="W38" s="191">
        <v>80807</v>
      </c>
      <c r="X38" s="192">
        <f>IFERROR(W38/V38-1,"-")</f>
        <v>-4.1162913939931656E-3</v>
      </c>
      <c r="Y38" s="211">
        <f t="shared" si="10"/>
        <v>2.2615030674846626</v>
      </c>
      <c r="Z38" s="192">
        <f t="shared" si="17"/>
        <v>2.1999151149641516E-2</v>
      </c>
    </row>
    <row r="39" spans="1:26" x14ac:dyDescent="0.25">
      <c r="A39" s="193" t="s">
        <v>105</v>
      </c>
      <c r="B39" s="194" t="s">
        <v>105</v>
      </c>
      <c r="C39" s="195">
        <v>2180</v>
      </c>
      <c r="D39" s="195">
        <v>4351</v>
      </c>
      <c r="E39" s="195">
        <v>9363</v>
      </c>
      <c r="F39" s="195">
        <v>15562</v>
      </c>
      <c r="G39" s="195">
        <v>21291</v>
      </c>
      <c r="H39" s="196">
        <f>IFERROR(G39/F39-1,"-")</f>
        <v>0.36814034185837285</v>
      </c>
      <c r="I39" s="212">
        <f t="shared" si="1"/>
        <v>8.7665137614678894</v>
      </c>
      <c r="J39" s="196">
        <f>G39/G$9</f>
        <v>2.8058407242919834E-2</v>
      </c>
      <c r="K39" s="195">
        <v>1767</v>
      </c>
      <c r="L39" s="195">
        <v>4726</v>
      </c>
      <c r="M39" s="195">
        <v>9315</v>
      </c>
      <c r="N39" s="195">
        <v>13363</v>
      </c>
      <c r="O39" s="195">
        <v>10110</v>
      </c>
      <c r="P39" s="196">
        <f>IFERROR(O39/N39-1,"-")</f>
        <v>-0.24343336077228173</v>
      </c>
      <c r="Q39" s="212">
        <f t="shared" si="9"/>
        <v>4.7215619694397279</v>
      </c>
      <c r="R39" s="196">
        <f>O39/O$9</f>
        <v>2.8714820085036768E-3</v>
      </c>
      <c r="S39" s="195">
        <v>3947</v>
      </c>
      <c r="T39" s="195">
        <v>9077</v>
      </c>
      <c r="U39" s="195">
        <v>18678</v>
      </c>
      <c r="V39" s="195">
        <v>28925</v>
      </c>
      <c r="W39" s="195">
        <v>31401</v>
      </c>
      <c r="X39" s="196">
        <f>IFERROR(W39/V39-1,"-")</f>
        <v>8.5600691443388E-2</v>
      </c>
      <c r="Y39" s="212">
        <f t="shared" si="10"/>
        <v>6.9556625285026605</v>
      </c>
      <c r="Z39" s="196">
        <f t="shared" si="17"/>
        <v>4.945360884520078E-3</v>
      </c>
    </row>
    <row r="40" spans="1:26" x14ac:dyDescent="0.25">
      <c r="A40" s="193" t="s">
        <v>102</v>
      </c>
      <c r="B40" s="194" t="s">
        <v>102</v>
      </c>
      <c r="C40" s="195">
        <v>3349</v>
      </c>
      <c r="D40" s="195">
        <v>1711</v>
      </c>
      <c r="E40" s="195">
        <v>12871</v>
      </c>
      <c r="F40" s="195">
        <v>12769</v>
      </c>
      <c r="G40" s="195">
        <v>10236</v>
      </c>
      <c r="H40" s="196">
        <f>IFERROR(G40/F40-1,"-")</f>
        <v>-0.19837105489858253</v>
      </c>
      <c r="I40" s="212">
        <f t="shared" si="1"/>
        <v>2.0564347566437742</v>
      </c>
      <c r="J40" s="196">
        <f>G40/G$9</f>
        <v>1.3489542836810269E-2</v>
      </c>
      <c r="K40" s="195">
        <v>17480</v>
      </c>
      <c r="L40" s="195">
        <v>29046</v>
      </c>
      <c r="M40" s="195">
        <v>51539</v>
      </c>
      <c r="N40" s="195">
        <v>39447</v>
      </c>
      <c r="O40" s="195">
        <v>39170</v>
      </c>
      <c r="P40" s="196">
        <f>IFERROR(O40/N40-1,"-")</f>
        <v>-7.0220802595888365E-3</v>
      </c>
      <c r="Q40" s="212">
        <f t="shared" si="9"/>
        <v>1.2408466819221968</v>
      </c>
      <c r="R40" s="196">
        <f>O40/O$9</f>
        <v>1.1125217633342139E-2</v>
      </c>
      <c r="S40" s="195">
        <v>20829</v>
      </c>
      <c r="T40" s="195">
        <v>30757</v>
      </c>
      <c r="U40" s="195">
        <v>64410</v>
      </c>
      <c r="V40" s="195">
        <v>52216</v>
      </c>
      <c r="W40" s="195">
        <v>49406</v>
      </c>
      <c r="X40" s="196">
        <f>IFERROR(W40/V40-1,"-")</f>
        <v>-5.3814922629079165E-2</v>
      </c>
      <c r="Y40" s="212">
        <f t="shared" si="10"/>
        <v>1.3719813721254019</v>
      </c>
      <c r="Z40" s="196">
        <f t="shared" si="17"/>
        <v>1.7053790265121438E-2</v>
      </c>
    </row>
    <row r="41" spans="1:26" x14ac:dyDescent="0.25">
      <c r="A41" s="1" t="s">
        <v>148</v>
      </c>
      <c r="B41" s="190" t="s">
        <v>109</v>
      </c>
      <c r="C41" s="191">
        <v>48756</v>
      </c>
      <c r="D41" s="191">
        <v>44610</v>
      </c>
      <c r="E41" s="191">
        <v>156956</v>
      </c>
      <c r="F41" s="191">
        <v>172956</v>
      </c>
      <c r="G41" s="191">
        <v>178683</v>
      </c>
      <c r="H41" s="192">
        <f>IFERROR(G41/F41-1,"-")</f>
        <v>3.3112467910913823E-2</v>
      </c>
      <c r="I41" s="211">
        <f t="shared" si="1"/>
        <v>2.6648412503076546</v>
      </c>
      <c r="J41" s="192">
        <f>G41/G$9</f>
        <v>0.23547791937375628</v>
      </c>
      <c r="K41" s="191">
        <v>132747</v>
      </c>
      <c r="L41" s="191">
        <v>172305</v>
      </c>
      <c r="M41" s="191">
        <v>512513</v>
      </c>
      <c r="N41" s="191">
        <v>556416</v>
      </c>
      <c r="O41" s="191">
        <v>601977</v>
      </c>
      <c r="P41" s="192">
        <f>IFERROR(O41/N41-1,"-")</f>
        <v>8.1882979641131781E-2</v>
      </c>
      <c r="Q41" s="211">
        <f t="shared" si="9"/>
        <v>3.5347691473253633</v>
      </c>
      <c r="R41" s="192">
        <f>O41/O$9</f>
        <v>0.17097587784698495</v>
      </c>
      <c r="S41" s="191">
        <v>181503</v>
      </c>
      <c r="T41" s="191">
        <v>216915</v>
      </c>
      <c r="U41" s="191">
        <v>669469</v>
      </c>
      <c r="V41" s="191">
        <v>729372</v>
      </c>
      <c r="W41" s="191">
        <v>780660</v>
      </c>
      <c r="X41" s="192">
        <f>IFERROR(W41/V41-1,"-")</f>
        <v>7.0318027015021212E-2</v>
      </c>
      <c r="Y41" s="211">
        <f t="shared" si="10"/>
        <v>3.3010859324639261</v>
      </c>
      <c r="Z41" s="192">
        <f t="shared" si="17"/>
        <v>0.17725483488589636</v>
      </c>
    </row>
    <row r="42" spans="1:26" x14ac:dyDescent="0.25">
      <c r="A42" s="193" t="s">
        <v>112</v>
      </c>
      <c r="B42" s="194" t="s">
        <v>112</v>
      </c>
      <c r="C42" s="195">
        <v>24960</v>
      </c>
      <c r="D42" s="195">
        <v>17021</v>
      </c>
      <c r="E42" s="195">
        <v>75160</v>
      </c>
      <c r="F42" s="195">
        <v>74709</v>
      </c>
      <c r="G42" s="195">
        <v>75962</v>
      </c>
      <c r="H42" s="196">
        <f t="shared" ref="H42:H49" si="18">IFERROR(G42/F42-1,"-")</f>
        <v>1.6771741021831321E-2</v>
      </c>
      <c r="I42" s="212">
        <f t="shared" si="1"/>
        <v>2.0433493589743588</v>
      </c>
      <c r="J42" s="196">
        <f t="shared" ref="J42:J49" si="19">G42/G$9</f>
        <v>0.10010674608927136</v>
      </c>
      <c r="K42" s="195">
        <v>63301</v>
      </c>
      <c r="L42" s="195">
        <v>63769</v>
      </c>
      <c r="M42" s="195">
        <v>269103</v>
      </c>
      <c r="N42" s="195">
        <v>299592</v>
      </c>
      <c r="O42" s="195">
        <v>337098</v>
      </c>
      <c r="P42" s="196">
        <f t="shared" ref="P42:P49" si="20">IFERROR(O42/N42-1,"-")</f>
        <v>0.12519025875190248</v>
      </c>
      <c r="Q42" s="212">
        <f t="shared" si="9"/>
        <v>4.3253187153441495</v>
      </c>
      <c r="R42" s="196">
        <f t="shared" ref="R42:R49" si="21">O42/O$9</f>
        <v>9.574390129600123E-2</v>
      </c>
      <c r="S42" s="195">
        <v>88261</v>
      </c>
      <c r="T42" s="195">
        <v>80790</v>
      </c>
      <c r="U42" s="195">
        <v>344263</v>
      </c>
      <c r="V42" s="195">
        <v>374301</v>
      </c>
      <c r="W42" s="195">
        <v>413060</v>
      </c>
      <c r="X42" s="196">
        <f t="shared" ref="X42:X49" si="22">IFERROR(W42/V42-1,"-")</f>
        <v>0.10355035118794764</v>
      </c>
      <c r="Y42" s="212">
        <f t="shared" si="10"/>
        <v>3.6799832315518746</v>
      </c>
      <c r="Z42" s="196">
        <f t="shared" si="17"/>
        <v>9.1150271666534721E-2</v>
      </c>
    </row>
    <row r="43" spans="1:26" x14ac:dyDescent="0.25">
      <c r="A43" s="193" t="s">
        <v>115</v>
      </c>
      <c r="B43" s="194" t="s">
        <v>115</v>
      </c>
      <c r="C43" s="195">
        <v>3221</v>
      </c>
      <c r="D43" s="195">
        <v>2578</v>
      </c>
      <c r="E43" s="195">
        <v>7845</v>
      </c>
      <c r="F43" s="195">
        <v>10865</v>
      </c>
      <c r="G43" s="195">
        <v>11127</v>
      </c>
      <c r="H43" s="196">
        <f t="shared" si="18"/>
        <v>2.4114127933732243E-2</v>
      </c>
      <c r="I43" s="212">
        <f t="shared" si="1"/>
        <v>2.4545172306737038</v>
      </c>
      <c r="J43" s="196">
        <f t="shared" si="19"/>
        <v>1.4663749818795219E-2</v>
      </c>
      <c r="K43" s="195">
        <v>7570</v>
      </c>
      <c r="L43" s="195">
        <v>10918</v>
      </c>
      <c r="M43" s="195">
        <v>19949</v>
      </c>
      <c r="N43" s="195">
        <v>22563</v>
      </c>
      <c r="O43" s="195">
        <v>20333</v>
      </c>
      <c r="P43" s="196">
        <f t="shared" si="20"/>
        <v>-9.883437486149893E-2</v>
      </c>
      <c r="Q43" s="212">
        <f t="shared" si="9"/>
        <v>1.6859973579920742</v>
      </c>
      <c r="R43" s="196">
        <f t="shared" si="21"/>
        <v>5.775058721949086E-3</v>
      </c>
      <c r="S43" s="195">
        <v>10791</v>
      </c>
      <c r="T43" s="195">
        <v>13496</v>
      </c>
      <c r="U43" s="195">
        <v>27794</v>
      </c>
      <c r="V43" s="195">
        <v>33428</v>
      </c>
      <c r="W43" s="195">
        <v>31460</v>
      </c>
      <c r="X43" s="196">
        <f t="shared" si="22"/>
        <v>-5.88728012444657E-2</v>
      </c>
      <c r="Y43" s="212">
        <f t="shared" si="10"/>
        <v>1.9153924566768605</v>
      </c>
      <c r="Z43" s="196">
        <f t="shared" si="17"/>
        <v>7.3589977740845403E-3</v>
      </c>
    </row>
    <row r="44" spans="1:26" x14ac:dyDescent="0.25">
      <c r="A44" s="193" t="s">
        <v>118</v>
      </c>
      <c r="B44" s="194" t="s">
        <v>118</v>
      </c>
      <c r="C44" s="195">
        <v>1995</v>
      </c>
      <c r="D44" s="195">
        <v>1781</v>
      </c>
      <c r="E44" s="195">
        <v>5675</v>
      </c>
      <c r="F44" s="195">
        <v>7865</v>
      </c>
      <c r="G44" s="195">
        <v>8232</v>
      </c>
      <c r="H44" s="196">
        <f t="shared" si="18"/>
        <v>4.6662428480610307E-2</v>
      </c>
      <c r="I44" s="212">
        <f t="shared" si="1"/>
        <v>3.1263157894736846</v>
      </c>
      <c r="J44" s="196">
        <f t="shared" si="19"/>
        <v>1.0848565517059606E-2</v>
      </c>
      <c r="K44" s="195">
        <v>3970</v>
      </c>
      <c r="L44" s="195">
        <v>8252</v>
      </c>
      <c r="M44" s="195">
        <v>12032</v>
      </c>
      <c r="N44" s="195">
        <v>11886</v>
      </c>
      <c r="O44" s="195">
        <v>11380</v>
      </c>
      <c r="P44" s="196">
        <f t="shared" si="20"/>
        <v>-4.2571092041056691E-2</v>
      </c>
      <c r="Q44" s="212">
        <f t="shared" si="9"/>
        <v>1.8664987405541562</v>
      </c>
      <c r="R44" s="196">
        <f t="shared" si="21"/>
        <v>3.2321924091762455E-3</v>
      </c>
      <c r="S44" s="195">
        <v>5965</v>
      </c>
      <c r="T44" s="195">
        <v>10033</v>
      </c>
      <c r="U44" s="195">
        <v>17707</v>
      </c>
      <c r="V44" s="195">
        <v>19751</v>
      </c>
      <c r="W44" s="195">
        <v>19612</v>
      </c>
      <c r="X44" s="196">
        <f t="shared" si="22"/>
        <v>-7.0376183484380794E-3</v>
      </c>
      <c r="Y44" s="212">
        <f t="shared" si="10"/>
        <v>2.2878457669740149</v>
      </c>
      <c r="Z44" s="196">
        <f t="shared" si="17"/>
        <v>4.688269899464451E-3</v>
      </c>
    </row>
    <row r="45" spans="1:26" x14ac:dyDescent="0.25">
      <c r="A45" s="193" t="s">
        <v>125</v>
      </c>
      <c r="B45" s="194" t="s">
        <v>125</v>
      </c>
      <c r="C45" s="195">
        <v>885</v>
      </c>
      <c r="D45" s="195">
        <v>1430</v>
      </c>
      <c r="E45" s="195">
        <v>3236</v>
      </c>
      <c r="F45" s="195">
        <v>3482</v>
      </c>
      <c r="G45" s="195">
        <v>3809</v>
      </c>
      <c r="H45" s="196">
        <f t="shared" si="18"/>
        <v>9.3911545089029325E-2</v>
      </c>
      <c r="I45" s="212">
        <f t="shared" si="1"/>
        <v>3.303954802259887</v>
      </c>
      <c r="J45" s="196">
        <f t="shared" si="19"/>
        <v>5.0197019016618126E-3</v>
      </c>
      <c r="K45" s="195">
        <v>6712</v>
      </c>
      <c r="L45" s="195">
        <v>13570</v>
      </c>
      <c r="M45" s="195">
        <v>27358</v>
      </c>
      <c r="N45" s="195">
        <v>26160</v>
      </c>
      <c r="O45" s="195">
        <v>28369</v>
      </c>
      <c r="P45" s="196">
        <f t="shared" si="20"/>
        <v>8.4441896024464835E-2</v>
      </c>
      <c r="Q45" s="212">
        <f t="shared" si="9"/>
        <v>3.2266090584028602</v>
      </c>
      <c r="R45" s="196">
        <f t="shared" si="21"/>
        <v>8.0574750840000792E-3</v>
      </c>
      <c r="S45" s="195">
        <v>7597</v>
      </c>
      <c r="T45" s="195">
        <v>15000</v>
      </c>
      <c r="U45" s="195">
        <v>30594</v>
      </c>
      <c r="V45" s="195">
        <v>29642</v>
      </c>
      <c r="W45" s="195">
        <v>32178</v>
      </c>
      <c r="X45" s="196">
        <f t="shared" si="22"/>
        <v>8.5554281087645956E-2</v>
      </c>
      <c r="Y45" s="212">
        <f t="shared" si="10"/>
        <v>3.2356193234171382</v>
      </c>
      <c r="Z45" s="196">
        <f t="shared" si="17"/>
        <v>8.100351798961734E-3</v>
      </c>
    </row>
    <row r="46" spans="1:26" x14ac:dyDescent="0.25">
      <c r="A46" s="193" t="s">
        <v>121</v>
      </c>
      <c r="B46" s="194" t="s">
        <v>121</v>
      </c>
      <c r="C46" s="195">
        <v>1080</v>
      </c>
      <c r="D46" s="195">
        <v>722</v>
      </c>
      <c r="E46" s="195">
        <v>1778</v>
      </c>
      <c r="F46" s="195">
        <v>2269</v>
      </c>
      <c r="G46" s="195">
        <v>2413</v>
      </c>
      <c r="H46" s="196">
        <f t="shared" si="18"/>
        <v>6.3464081092992508E-2</v>
      </c>
      <c r="I46" s="212">
        <f t="shared" si="1"/>
        <v>1.2342592592592592</v>
      </c>
      <c r="J46" s="196">
        <f t="shared" si="19"/>
        <v>3.1799791779233274E-3</v>
      </c>
      <c r="K46" s="195">
        <v>11022</v>
      </c>
      <c r="L46" s="195">
        <v>16968</v>
      </c>
      <c r="M46" s="195">
        <v>29000</v>
      </c>
      <c r="N46" s="195">
        <v>33231</v>
      </c>
      <c r="O46" s="195">
        <v>33087</v>
      </c>
      <c r="P46" s="196">
        <f t="shared" si="20"/>
        <v>-4.3333032409497152E-3</v>
      </c>
      <c r="Q46" s="212">
        <f t="shared" si="9"/>
        <v>2.0019052803483941</v>
      </c>
      <c r="R46" s="196">
        <f t="shared" si="21"/>
        <v>9.397500021301795E-3</v>
      </c>
      <c r="S46" s="195">
        <v>12102</v>
      </c>
      <c r="T46" s="195">
        <v>17690</v>
      </c>
      <c r="U46" s="195">
        <v>30778</v>
      </c>
      <c r="V46" s="195">
        <v>35500</v>
      </c>
      <c r="W46" s="195">
        <v>35500</v>
      </c>
      <c r="X46" s="196">
        <f t="shared" si="22"/>
        <v>0</v>
      </c>
      <c r="Y46" s="212">
        <f t="shared" si="10"/>
        <v>1.9333994381094035</v>
      </c>
      <c r="Z46" s="196">
        <f t="shared" si="17"/>
        <v>8.1490693491679499E-3</v>
      </c>
    </row>
    <row r="47" spans="1:26" x14ac:dyDescent="0.25">
      <c r="A47" s="193" t="s">
        <v>130</v>
      </c>
      <c r="B47" s="194" t="s">
        <v>130</v>
      </c>
      <c r="C47" s="195">
        <v>1099</v>
      </c>
      <c r="D47" s="195">
        <v>749</v>
      </c>
      <c r="E47" s="195">
        <v>2218</v>
      </c>
      <c r="F47" s="195">
        <v>2218</v>
      </c>
      <c r="G47" s="195">
        <v>1673</v>
      </c>
      <c r="H47" s="196">
        <f t="shared" si="18"/>
        <v>-0.24571686203787191</v>
      </c>
      <c r="I47" s="212">
        <f t="shared" si="1"/>
        <v>0.52229299363057335</v>
      </c>
      <c r="J47" s="196">
        <f t="shared" si="19"/>
        <v>2.2047679919874538E-3</v>
      </c>
      <c r="K47" s="195">
        <v>2296</v>
      </c>
      <c r="L47" s="195">
        <v>2639</v>
      </c>
      <c r="M47" s="195">
        <v>6605</v>
      </c>
      <c r="N47" s="195">
        <v>7002</v>
      </c>
      <c r="O47" s="195">
        <v>6960</v>
      </c>
      <c r="P47" s="196">
        <f t="shared" si="20"/>
        <v>-5.9982862039417162E-3</v>
      </c>
      <c r="Q47" s="212">
        <f t="shared" si="9"/>
        <v>2.0313588850174216</v>
      </c>
      <c r="R47" s="196">
        <f t="shared" si="21"/>
        <v>1.9768066052606912E-3</v>
      </c>
      <c r="S47" s="195">
        <v>3395</v>
      </c>
      <c r="T47" s="195">
        <v>3388</v>
      </c>
      <c r="U47" s="195">
        <v>8823</v>
      </c>
      <c r="V47" s="195">
        <v>9220</v>
      </c>
      <c r="W47" s="195">
        <v>8633</v>
      </c>
      <c r="X47" s="196">
        <f t="shared" si="22"/>
        <v>-6.3665943600867636E-2</v>
      </c>
      <c r="Y47" s="212">
        <f t="shared" si="10"/>
        <v>1.5428571428571427</v>
      </c>
      <c r="Z47" s="196">
        <f t="shared" si="17"/>
        <v>2.336059486246956E-3</v>
      </c>
    </row>
    <row r="48" spans="1:26" x14ac:dyDescent="0.25">
      <c r="A48" s="193" t="s">
        <v>133</v>
      </c>
      <c r="B48" s="194" t="s">
        <v>133</v>
      </c>
      <c r="C48" s="195">
        <v>1080</v>
      </c>
      <c r="D48" s="195">
        <v>761</v>
      </c>
      <c r="E48" s="195">
        <v>1311</v>
      </c>
      <c r="F48" s="195">
        <v>1982</v>
      </c>
      <c r="G48" s="195">
        <v>1393</v>
      </c>
      <c r="H48" s="196">
        <f t="shared" si="18"/>
        <v>-0.29717457114026236</v>
      </c>
      <c r="I48" s="212">
        <f t="shared" si="1"/>
        <v>0.28981481481481475</v>
      </c>
      <c r="J48" s="196">
        <f t="shared" si="19"/>
        <v>1.835769164876583E-3</v>
      </c>
      <c r="K48" s="195">
        <v>4136</v>
      </c>
      <c r="L48" s="195">
        <v>3019</v>
      </c>
      <c r="M48" s="195">
        <v>6804</v>
      </c>
      <c r="N48" s="195">
        <v>8431</v>
      </c>
      <c r="O48" s="195">
        <v>7038</v>
      </c>
      <c r="P48" s="196">
        <f t="shared" si="20"/>
        <v>-0.16522357964654255</v>
      </c>
      <c r="Q48" s="212">
        <f t="shared" si="9"/>
        <v>0.70164410058027071</v>
      </c>
      <c r="R48" s="196">
        <f t="shared" si="21"/>
        <v>1.9989604723886127E-3</v>
      </c>
      <c r="S48" s="195">
        <v>5216</v>
      </c>
      <c r="T48" s="195">
        <v>3780</v>
      </c>
      <c r="U48" s="195">
        <v>8115</v>
      </c>
      <c r="V48" s="195">
        <v>10413</v>
      </c>
      <c r="W48" s="195">
        <v>8431</v>
      </c>
      <c r="X48" s="196">
        <f t="shared" si="22"/>
        <v>-0.19033899932776333</v>
      </c>
      <c r="Y48" s="212">
        <f t="shared" si="10"/>
        <v>0.61637269938650308</v>
      </c>
      <c r="Z48" s="196">
        <f t="shared" si="17"/>
        <v>2.1486028256708658E-3</v>
      </c>
    </row>
    <row r="49" spans="1:26" x14ac:dyDescent="0.25">
      <c r="A49" s="198" t="s">
        <v>147</v>
      </c>
      <c r="B49" s="199" t="s">
        <v>147</v>
      </c>
      <c r="C49" s="200">
        <f>C41-SUM(C42:C48)</f>
        <v>14436</v>
      </c>
      <c r="D49" s="200">
        <f>D41-SUM(D42:D48)</f>
        <v>19568</v>
      </c>
      <c r="E49" s="200">
        <f>E41-SUM(E42:E48)</f>
        <v>59733</v>
      </c>
      <c r="F49" s="200">
        <f>F41-SUM(F42:F48)</f>
        <v>69566</v>
      </c>
      <c r="G49" s="200">
        <f>G41-SUM(G42:G48)</f>
        <v>74074</v>
      </c>
      <c r="H49" s="201">
        <f t="shared" si="18"/>
        <v>6.4801770980076556E-2</v>
      </c>
      <c r="I49" s="213">
        <f t="shared" si="1"/>
        <v>4.1311997783319478</v>
      </c>
      <c r="J49" s="201">
        <f t="shared" si="19"/>
        <v>9.7618639712180919E-2</v>
      </c>
      <c r="K49" s="200">
        <f>K41-SUM(K42:K48)</f>
        <v>33740</v>
      </c>
      <c r="L49" s="200">
        <f>L41-SUM(L42:L48)</f>
        <v>53170</v>
      </c>
      <c r="M49" s="200">
        <f>M41-SUM(M42:M48)</f>
        <v>141662</v>
      </c>
      <c r="N49" s="200">
        <f>N41-SUM(N42:N48)</f>
        <v>147551</v>
      </c>
      <c r="O49" s="200">
        <f>O41-SUM(O42:O48)</f>
        <v>157712</v>
      </c>
      <c r="P49" s="201">
        <f t="shared" si="20"/>
        <v>6.8864324877500049E-2</v>
      </c>
      <c r="Q49" s="213">
        <f t="shared" si="9"/>
        <v>3.6743331357439244</v>
      </c>
      <c r="R49" s="201">
        <f t="shared" si="21"/>
        <v>4.4793983236907205E-2</v>
      </c>
      <c r="S49" s="200">
        <f>S41-SUM(S42:S48)</f>
        <v>48176</v>
      </c>
      <c r="T49" s="200">
        <f>T41-SUM(T42:T48)</f>
        <v>72738</v>
      </c>
      <c r="U49" s="200">
        <f>U41-SUM(U42:U48)</f>
        <v>201395</v>
      </c>
      <c r="V49" s="200">
        <f>V41-SUM(V42:V48)</f>
        <v>217117</v>
      </c>
      <c r="W49" s="200">
        <f>W41-SUM(W42:W48)</f>
        <v>231786</v>
      </c>
      <c r="X49" s="201">
        <f t="shared" si="22"/>
        <v>6.7562650552467129E-2</v>
      </c>
      <c r="Y49" s="213">
        <f t="shared" si="10"/>
        <v>3.8112338093656595</v>
      </c>
      <c r="Z49" s="201">
        <f t="shared" si="17"/>
        <v>5.3323212085765126E-2</v>
      </c>
    </row>
    <row r="50" spans="1:26" x14ac:dyDescent="0.25">
      <c r="A50" s="1"/>
      <c r="B50" s="186" t="s">
        <v>48</v>
      </c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</row>
    <row r="51" spans="1:26" x14ac:dyDescent="0.25">
      <c r="A51" s="1" t="s">
        <v>0</v>
      </c>
      <c r="B51" s="187" t="s">
        <v>70</v>
      </c>
      <c r="C51" s="209">
        <f>C52+C55</f>
        <v>0</v>
      </c>
      <c r="D51" s="209">
        <f>D52+D55</f>
        <v>0</v>
      </c>
      <c r="E51" s="209">
        <f>E52+E55</f>
        <v>0</v>
      </c>
      <c r="F51" s="209">
        <f>F52+F55</f>
        <v>0</v>
      </c>
      <c r="G51" s="209">
        <f>G52+G55</f>
        <v>0</v>
      </c>
      <c r="H51" s="210" t="str">
        <f>IFERROR(G51/F51-1,"-")</f>
        <v>-</v>
      </c>
      <c r="I51" s="210" t="str">
        <f t="shared" si="1"/>
        <v>-</v>
      </c>
      <c r="J51" s="210">
        <f>G51/G$9</f>
        <v>0</v>
      </c>
      <c r="K51" s="209">
        <f>K52+K55</f>
        <v>0</v>
      </c>
      <c r="L51" s="209">
        <f>L52+L55</f>
        <v>0</v>
      </c>
      <c r="M51" s="209">
        <f>M52+M55</f>
        <v>0</v>
      </c>
      <c r="N51" s="209">
        <f>N52+N55</f>
        <v>0</v>
      </c>
      <c r="O51" s="209">
        <f>O52+O55</f>
        <v>0</v>
      </c>
      <c r="P51" s="210" t="str">
        <f>IFERROR(O51/N51-1,"-")</f>
        <v>-</v>
      </c>
      <c r="Q51" s="210" t="str">
        <f t="shared" si="9"/>
        <v>-</v>
      </c>
      <c r="R51" s="210">
        <f>O51/O$9</f>
        <v>0</v>
      </c>
      <c r="S51" s="209">
        <f>S52+S55</f>
        <v>10755</v>
      </c>
      <c r="T51" s="209">
        <f>T52+T55</f>
        <v>20161</v>
      </c>
      <c r="U51" s="209">
        <f>U52+U55</f>
        <v>37638</v>
      </c>
      <c r="V51" s="209">
        <f>V52+V55</f>
        <v>50521</v>
      </c>
      <c r="W51" s="209">
        <f>W52+W55</f>
        <v>43075</v>
      </c>
      <c r="X51" s="210">
        <f>IFERROR(W51/V51-1,"-")</f>
        <v>-0.14738425605193883</v>
      </c>
      <c r="Y51" s="210">
        <f t="shared" si="10"/>
        <v>3.0051139005113905</v>
      </c>
      <c r="Z51" s="210">
        <f t="shared" ref="Z51:Z63" si="23">U51/U$9</f>
        <v>9.9653867101170725E-3</v>
      </c>
    </row>
    <row r="52" spans="1:26" x14ac:dyDescent="0.25">
      <c r="A52" s="1" t="s">
        <v>98</v>
      </c>
      <c r="B52" s="190" t="s">
        <v>99</v>
      </c>
      <c r="C52" s="191">
        <v>0</v>
      </c>
      <c r="D52" s="191">
        <v>0</v>
      </c>
      <c r="E52" s="191">
        <v>0</v>
      </c>
      <c r="F52" s="191">
        <v>0</v>
      </c>
      <c r="G52" s="191">
        <v>0</v>
      </c>
      <c r="H52" s="192" t="str">
        <f>IFERROR(G52/F52-1,"-")</f>
        <v>-</v>
      </c>
      <c r="I52" s="211" t="str">
        <f t="shared" si="1"/>
        <v>-</v>
      </c>
      <c r="J52" s="192">
        <f>G52/G$9</f>
        <v>0</v>
      </c>
      <c r="K52" s="191">
        <v>0</v>
      </c>
      <c r="L52" s="191">
        <v>0</v>
      </c>
      <c r="M52" s="191">
        <v>0</v>
      </c>
      <c r="N52" s="191">
        <v>0</v>
      </c>
      <c r="O52" s="191">
        <v>0</v>
      </c>
      <c r="P52" s="192" t="str">
        <f>IFERROR(O52/N52-1,"-")</f>
        <v>-</v>
      </c>
      <c r="Q52" s="211" t="str">
        <f t="shared" si="9"/>
        <v>-</v>
      </c>
      <c r="R52" s="192">
        <f>O52/O$9</f>
        <v>0</v>
      </c>
      <c r="S52" s="191">
        <v>1989</v>
      </c>
      <c r="T52" s="191">
        <v>4950</v>
      </c>
      <c r="U52" s="191">
        <v>6738</v>
      </c>
      <c r="V52" s="191">
        <v>20078</v>
      </c>
      <c r="W52" s="191">
        <v>10886</v>
      </c>
      <c r="X52" s="192">
        <f>IFERROR(W52/V52-1,"-")</f>
        <v>-0.45781452335890027</v>
      </c>
      <c r="Y52" s="211">
        <f t="shared" si="10"/>
        <v>4.4731020613373556</v>
      </c>
      <c r="Z52" s="192">
        <f t="shared" si="23"/>
        <v>1.7840155070080461E-3</v>
      </c>
    </row>
    <row r="53" spans="1:26" x14ac:dyDescent="0.25">
      <c r="A53" s="193" t="s">
        <v>105</v>
      </c>
      <c r="B53" s="194" t="s">
        <v>105</v>
      </c>
      <c r="C53" s="195">
        <v>0</v>
      </c>
      <c r="D53" s="195">
        <v>0</v>
      </c>
      <c r="E53" s="195">
        <v>0</v>
      </c>
      <c r="F53" s="195">
        <v>0</v>
      </c>
      <c r="G53" s="195">
        <v>0</v>
      </c>
      <c r="H53" s="196" t="str">
        <f>IFERROR(G53/F53-1,"-")</f>
        <v>-</v>
      </c>
      <c r="I53" s="212" t="str">
        <f t="shared" si="1"/>
        <v>-</v>
      </c>
      <c r="J53" s="196">
        <f>G53/G$9</f>
        <v>0</v>
      </c>
      <c r="K53" s="195">
        <v>0</v>
      </c>
      <c r="L53" s="195">
        <v>0</v>
      </c>
      <c r="M53" s="195">
        <v>0</v>
      </c>
      <c r="N53" s="195">
        <v>0</v>
      </c>
      <c r="O53" s="195">
        <v>0</v>
      </c>
      <c r="P53" s="196" t="str">
        <f>IFERROR(O53/N53-1,"-")</f>
        <v>-</v>
      </c>
      <c r="Q53" s="212" t="str">
        <f t="shared" si="9"/>
        <v>-</v>
      </c>
      <c r="R53" s="196">
        <f>O53/O$9</f>
        <v>0</v>
      </c>
      <c r="S53" s="195">
        <v>1487</v>
      </c>
      <c r="T53" s="195">
        <v>2415</v>
      </c>
      <c r="U53" s="195">
        <v>3508</v>
      </c>
      <c r="V53" s="195">
        <v>14700</v>
      </c>
      <c r="W53" s="195">
        <v>7147</v>
      </c>
      <c r="X53" s="196">
        <f>IFERROR(W53/V53-1,"-")</f>
        <v>-0.51380952380952383</v>
      </c>
      <c r="Y53" s="212">
        <f t="shared" si="10"/>
        <v>3.8063214525891054</v>
      </c>
      <c r="Z53" s="196">
        <f t="shared" si="23"/>
        <v>9.2881068545328373E-4</v>
      </c>
    </row>
    <row r="54" spans="1:26" x14ac:dyDescent="0.25">
      <c r="A54" s="193" t="s">
        <v>102</v>
      </c>
      <c r="B54" s="194" t="s">
        <v>102</v>
      </c>
      <c r="C54" s="195">
        <v>0</v>
      </c>
      <c r="D54" s="195">
        <v>0</v>
      </c>
      <c r="E54" s="195">
        <v>0</v>
      </c>
      <c r="F54" s="195">
        <v>0</v>
      </c>
      <c r="G54" s="195">
        <v>0</v>
      </c>
      <c r="H54" s="196" t="str">
        <f>IFERROR(G54/F54-1,"-")</f>
        <v>-</v>
      </c>
      <c r="I54" s="212" t="str">
        <f t="shared" si="1"/>
        <v>-</v>
      </c>
      <c r="J54" s="196">
        <f>G54/G$9</f>
        <v>0</v>
      </c>
      <c r="K54" s="195">
        <v>0</v>
      </c>
      <c r="L54" s="195">
        <v>0</v>
      </c>
      <c r="M54" s="195">
        <v>0</v>
      </c>
      <c r="N54" s="195">
        <v>0</v>
      </c>
      <c r="O54" s="195">
        <v>0</v>
      </c>
      <c r="P54" s="196" t="str">
        <f>IFERROR(O54/N54-1,"-")</f>
        <v>-</v>
      </c>
      <c r="Q54" s="212" t="str">
        <f t="shared" si="9"/>
        <v>-</v>
      </c>
      <c r="R54" s="196">
        <f>O54/O$9</f>
        <v>0</v>
      </c>
      <c r="S54" s="195">
        <v>502</v>
      </c>
      <c r="T54" s="195">
        <v>2535</v>
      </c>
      <c r="U54" s="195">
        <v>3230</v>
      </c>
      <c r="V54" s="195">
        <v>5378</v>
      </c>
      <c r="W54" s="195">
        <v>3739</v>
      </c>
      <c r="X54" s="196">
        <f>IFERROR(W54/V54-1,"-")</f>
        <v>-0.30476013387876533</v>
      </c>
      <c r="Y54" s="212">
        <f t="shared" si="10"/>
        <v>6.4482071713147411</v>
      </c>
      <c r="Z54" s="196">
        <f t="shared" si="23"/>
        <v>8.552048215547624E-4</v>
      </c>
    </row>
    <row r="55" spans="1:26" x14ac:dyDescent="0.25">
      <c r="A55" s="1" t="s">
        <v>148</v>
      </c>
      <c r="B55" s="190" t="s">
        <v>109</v>
      </c>
      <c r="C55" s="191">
        <v>0</v>
      </c>
      <c r="D55" s="191">
        <v>0</v>
      </c>
      <c r="E55" s="191">
        <v>0</v>
      </c>
      <c r="F55" s="191">
        <v>0</v>
      </c>
      <c r="G55" s="191">
        <v>0</v>
      </c>
      <c r="H55" s="192" t="str">
        <f>IFERROR(G55/F55-1,"-")</f>
        <v>-</v>
      </c>
      <c r="I55" s="211" t="str">
        <f t="shared" si="1"/>
        <v>-</v>
      </c>
      <c r="J55" s="192">
        <f>G55/G$9</f>
        <v>0</v>
      </c>
      <c r="K55" s="191">
        <v>0</v>
      </c>
      <c r="L55" s="191">
        <v>0</v>
      </c>
      <c r="M55" s="191">
        <v>0</v>
      </c>
      <c r="N55" s="191">
        <v>0</v>
      </c>
      <c r="O55" s="191">
        <v>0</v>
      </c>
      <c r="P55" s="192" t="str">
        <f>IFERROR(O55/N55-1,"-")</f>
        <v>-</v>
      </c>
      <c r="Q55" s="211" t="str">
        <f t="shared" si="9"/>
        <v>-</v>
      </c>
      <c r="R55" s="192">
        <f>O55/O$9</f>
        <v>0</v>
      </c>
      <c r="S55" s="191">
        <v>8766</v>
      </c>
      <c r="T55" s="191">
        <v>15211</v>
      </c>
      <c r="U55" s="191">
        <v>30900</v>
      </c>
      <c r="V55" s="191">
        <v>30443</v>
      </c>
      <c r="W55" s="191">
        <v>32189</v>
      </c>
      <c r="X55" s="192">
        <f>IFERROR(W55/V55-1,"-")</f>
        <v>5.7353086095325745E-2</v>
      </c>
      <c r="Y55" s="211">
        <f t="shared" si="10"/>
        <v>2.6720282911248003</v>
      </c>
      <c r="Z55" s="192">
        <f t="shared" si="23"/>
        <v>8.1813712031090276E-3</v>
      </c>
    </row>
    <row r="56" spans="1:26" x14ac:dyDescent="0.25">
      <c r="A56" s="193" t="s">
        <v>112</v>
      </c>
      <c r="B56" s="194" t="s">
        <v>112</v>
      </c>
      <c r="C56" s="195">
        <v>0</v>
      </c>
      <c r="D56" s="195">
        <v>0</v>
      </c>
      <c r="E56" s="195">
        <v>0</v>
      </c>
      <c r="F56" s="195">
        <v>0</v>
      </c>
      <c r="G56" s="195">
        <v>0</v>
      </c>
      <c r="H56" s="196" t="str">
        <f t="shared" ref="H56:H63" si="24">IFERROR(G56/F56-1,"-")</f>
        <v>-</v>
      </c>
      <c r="I56" s="212" t="str">
        <f t="shared" si="1"/>
        <v>-</v>
      </c>
      <c r="J56" s="196">
        <f t="shared" ref="J56:J63" si="25">G56/G$9</f>
        <v>0</v>
      </c>
      <c r="K56" s="195">
        <v>0</v>
      </c>
      <c r="L56" s="195">
        <v>0</v>
      </c>
      <c r="M56" s="195">
        <v>0</v>
      </c>
      <c r="N56" s="195">
        <v>0</v>
      </c>
      <c r="O56" s="195">
        <v>0</v>
      </c>
      <c r="P56" s="196" t="str">
        <f t="shared" ref="P56:P63" si="26">IFERROR(O56/N56-1,"-")</f>
        <v>-</v>
      </c>
      <c r="Q56" s="212" t="str">
        <f t="shared" si="9"/>
        <v>-</v>
      </c>
      <c r="R56" s="196">
        <f t="shared" ref="R56:R63" si="27">O56/O$9</f>
        <v>0</v>
      </c>
      <c r="S56" s="195">
        <v>2464</v>
      </c>
      <c r="T56" s="195">
        <v>3030</v>
      </c>
      <c r="U56" s="195">
        <v>10329</v>
      </c>
      <c r="V56" s="195">
        <v>9247</v>
      </c>
      <c r="W56" s="195">
        <v>10942</v>
      </c>
      <c r="X56" s="196">
        <f t="shared" ref="X56:X63" si="28">IFERROR(W56/V56-1,"-")</f>
        <v>0.18330269276522104</v>
      </c>
      <c r="Y56" s="212">
        <f t="shared" si="10"/>
        <v>3.4407467532467528</v>
      </c>
      <c r="Z56" s="196">
        <f t="shared" si="23"/>
        <v>2.7348020439130465E-3</v>
      </c>
    </row>
    <row r="57" spans="1:26" x14ac:dyDescent="0.25">
      <c r="A57" s="193" t="s">
        <v>115</v>
      </c>
      <c r="B57" s="194" t="s">
        <v>115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  <c r="H57" s="196" t="str">
        <f t="shared" si="24"/>
        <v>-</v>
      </c>
      <c r="I57" s="212" t="str">
        <f t="shared" si="1"/>
        <v>-</v>
      </c>
      <c r="J57" s="196">
        <f t="shared" si="25"/>
        <v>0</v>
      </c>
      <c r="K57" s="195">
        <v>0</v>
      </c>
      <c r="L57" s="195">
        <v>0</v>
      </c>
      <c r="M57" s="195">
        <v>0</v>
      </c>
      <c r="N57" s="195">
        <v>0</v>
      </c>
      <c r="O57" s="195">
        <v>0</v>
      </c>
      <c r="P57" s="196" t="str">
        <f t="shared" si="26"/>
        <v>-</v>
      </c>
      <c r="Q57" s="212" t="str">
        <f t="shared" si="9"/>
        <v>-</v>
      </c>
      <c r="R57" s="196">
        <f t="shared" si="27"/>
        <v>0</v>
      </c>
      <c r="S57" s="195">
        <v>2785</v>
      </c>
      <c r="T57" s="195">
        <v>5150</v>
      </c>
      <c r="U57" s="195">
        <v>6783</v>
      </c>
      <c r="V57" s="195">
        <v>6068</v>
      </c>
      <c r="W57" s="195">
        <v>6432</v>
      </c>
      <c r="X57" s="196">
        <f t="shared" si="28"/>
        <v>5.9986816084377059E-2</v>
      </c>
      <c r="Y57" s="212">
        <f t="shared" si="10"/>
        <v>1.3095152603231597</v>
      </c>
      <c r="Z57" s="196">
        <f t="shared" si="23"/>
        <v>1.7959301252650009E-3</v>
      </c>
    </row>
    <row r="58" spans="1:26" x14ac:dyDescent="0.25">
      <c r="A58" s="193" t="s">
        <v>118</v>
      </c>
      <c r="B58" s="194" t="s">
        <v>118</v>
      </c>
      <c r="C58" s="195">
        <v>0</v>
      </c>
      <c r="D58" s="195">
        <v>0</v>
      </c>
      <c r="E58" s="195">
        <v>0</v>
      </c>
      <c r="F58" s="195">
        <v>0</v>
      </c>
      <c r="G58" s="195">
        <v>0</v>
      </c>
      <c r="H58" s="196" t="str">
        <f t="shared" si="24"/>
        <v>-</v>
      </c>
      <c r="I58" s="212" t="str">
        <f t="shared" si="1"/>
        <v>-</v>
      </c>
      <c r="J58" s="196">
        <f t="shared" si="25"/>
        <v>0</v>
      </c>
      <c r="K58" s="195">
        <v>0</v>
      </c>
      <c r="L58" s="195">
        <v>0</v>
      </c>
      <c r="M58" s="195">
        <v>0</v>
      </c>
      <c r="N58" s="195">
        <v>0</v>
      </c>
      <c r="O58" s="195">
        <v>0</v>
      </c>
      <c r="P58" s="196" t="str">
        <f t="shared" si="26"/>
        <v>-</v>
      </c>
      <c r="Q58" s="212" t="str">
        <f t="shared" si="9"/>
        <v>-</v>
      </c>
      <c r="R58" s="196">
        <f t="shared" si="27"/>
        <v>0</v>
      </c>
      <c r="S58" s="195">
        <v>488</v>
      </c>
      <c r="T58" s="195">
        <v>1642</v>
      </c>
      <c r="U58" s="195">
        <v>2739</v>
      </c>
      <c r="V58" s="195">
        <v>2907</v>
      </c>
      <c r="W58" s="195">
        <v>2287</v>
      </c>
      <c r="X58" s="196">
        <f t="shared" si="28"/>
        <v>-0.21327829377364982</v>
      </c>
      <c r="Y58" s="212">
        <f t="shared" si="10"/>
        <v>3.6864754098360653</v>
      </c>
      <c r="Z58" s="196">
        <f t="shared" si="23"/>
        <v>7.2520309790665457E-4</v>
      </c>
    </row>
    <row r="59" spans="1:26" x14ac:dyDescent="0.25">
      <c r="A59" s="193" t="s">
        <v>125</v>
      </c>
      <c r="B59" s="194" t="s">
        <v>125</v>
      </c>
      <c r="C59" s="195">
        <v>0</v>
      </c>
      <c r="D59" s="195">
        <v>0</v>
      </c>
      <c r="E59" s="195">
        <v>0</v>
      </c>
      <c r="F59" s="195">
        <v>0</v>
      </c>
      <c r="G59" s="195">
        <v>0</v>
      </c>
      <c r="H59" s="196" t="str">
        <f t="shared" si="24"/>
        <v>-</v>
      </c>
      <c r="I59" s="212" t="str">
        <f t="shared" si="1"/>
        <v>-</v>
      </c>
      <c r="J59" s="196">
        <f t="shared" si="25"/>
        <v>0</v>
      </c>
      <c r="K59" s="195">
        <v>0</v>
      </c>
      <c r="L59" s="195">
        <v>0</v>
      </c>
      <c r="M59" s="195">
        <v>0</v>
      </c>
      <c r="N59" s="195">
        <v>0</v>
      </c>
      <c r="O59" s="195">
        <v>0</v>
      </c>
      <c r="P59" s="196" t="str">
        <f t="shared" si="26"/>
        <v>-</v>
      </c>
      <c r="Q59" s="212" t="str">
        <f t="shared" si="9"/>
        <v>-</v>
      </c>
      <c r="R59" s="196">
        <f t="shared" si="27"/>
        <v>0</v>
      </c>
      <c r="S59" s="195">
        <v>271</v>
      </c>
      <c r="T59" s="195">
        <v>377</v>
      </c>
      <c r="U59" s="195">
        <v>866</v>
      </c>
      <c r="V59" s="195">
        <v>806</v>
      </c>
      <c r="W59" s="195">
        <v>1078</v>
      </c>
      <c r="X59" s="196">
        <f t="shared" si="28"/>
        <v>0.33746898263027303</v>
      </c>
      <c r="Y59" s="212">
        <f t="shared" si="10"/>
        <v>2.9778597785977858</v>
      </c>
      <c r="Z59" s="196">
        <f t="shared" si="23"/>
        <v>2.2929020912273196E-4</v>
      </c>
    </row>
    <row r="60" spans="1:26" x14ac:dyDescent="0.25">
      <c r="A60" s="193" t="s">
        <v>121</v>
      </c>
      <c r="B60" s="194" t="s">
        <v>121</v>
      </c>
      <c r="C60" s="195">
        <v>0</v>
      </c>
      <c r="D60" s="195">
        <v>0</v>
      </c>
      <c r="E60" s="195">
        <v>0</v>
      </c>
      <c r="F60" s="195">
        <v>0</v>
      </c>
      <c r="G60" s="195">
        <v>0</v>
      </c>
      <c r="H60" s="196" t="str">
        <f t="shared" si="24"/>
        <v>-</v>
      </c>
      <c r="I60" s="212" t="str">
        <f t="shared" si="1"/>
        <v>-</v>
      </c>
      <c r="J60" s="196">
        <f t="shared" si="25"/>
        <v>0</v>
      </c>
      <c r="K60" s="195">
        <v>0</v>
      </c>
      <c r="L60" s="195">
        <v>0</v>
      </c>
      <c r="M60" s="195">
        <v>0</v>
      </c>
      <c r="N60" s="195">
        <v>0</v>
      </c>
      <c r="O60" s="195">
        <v>0</v>
      </c>
      <c r="P60" s="196" t="str">
        <f t="shared" si="26"/>
        <v>-</v>
      </c>
      <c r="Q60" s="212" t="str">
        <f t="shared" si="9"/>
        <v>-</v>
      </c>
      <c r="R60" s="196">
        <f t="shared" si="27"/>
        <v>0</v>
      </c>
      <c r="S60" s="195">
        <v>177</v>
      </c>
      <c r="T60" s="195">
        <v>476</v>
      </c>
      <c r="U60" s="195">
        <v>649</v>
      </c>
      <c r="V60" s="195">
        <v>683</v>
      </c>
      <c r="W60" s="195">
        <v>802</v>
      </c>
      <c r="X60" s="196">
        <f t="shared" si="28"/>
        <v>0.17423133235724753</v>
      </c>
      <c r="Y60" s="212">
        <f t="shared" si="10"/>
        <v>3.5310734463276834</v>
      </c>
      <c r="Z60" s="196">
        <f t="shared" si="23"/>
        <v>1.7183527219474947E-4</v>
      </c>
    </row>
    <row r="61" spans="1:26" x14ac:dyDescent="0.25">
      <c r="A61" s="193" t="s">
        <v>130</v>
      </c>
      <c r="B61" s="194" t="s">
        <v>130</v>
      </c>
      <c r="C61" s="195">
        <v>0</v>
      </c>
      <c r="D61" s="195">
        <v>0</v>
      </c>
      <c r="E61" s="195">
        <v>0</v>
      </c>
      <c r="F61" s="195">
        <v>0</v>
      </c>
      <c r="G61" s="195">
        <v>0</v>
      </c>
      <c r="H61" s="196" t="str">
        <f t="shared" si="24"/>
        <v>-</v>
      </c>
      <c r="I61" s="212" t="str">
        <f t="shared" si="1"/>
        <v>-</v>
      </c>
      <c r="J61" s="196">
        <f t="shared" si="25"/>
        <v>0</v>
      </c>
      <c r="K61" s="195">
        <v>0</v>
      </c>
      <c r="L61" s="195">
        <v>0</v>
      </c>
      <c r="M61" s="195">
        <v>0</v>
      </c>
      <c r="N61" s="195">
        <v>0</v>
      </c>
      <c r="O61" s="195">
        <v>0</v>
      </c>
      <c r="P61" s="196" t="str">
        <f t="shared" si="26"/>
        <v>-</v>
      </c>
      <c r="Q61" s="212" t="str">
        <f t="shared" si="9"/>
        <v>-</v>
      </c>
      <c r="R61" s="196">
        <f t="shared" si="27"/>
        <v>0</v>
      </c>
      <c r="S61" s="195">
        <v>76</v>
      </c>
      <c r="T61" s="195">
        <v>98</v>
      </c>
      <c r="U61" s="195">
        <v>132</v>
      </c>
      <c r="V61" s="195">
        <v>239</v>
      </c>
      <c r="W61" s="195">
        <v>141</v>
      </c>
      <c r="X61" s="196">
        <f t="shared" si="28"/>
        <v>-0.41004184100418406</v>
      </c>
      <c r="Y61" s="212">
        <f t="shared" si="10"/>
        <v>0.85526315789473695</v>
      </c>
      <c r="Z61" s="196">
        <f t="shared" si="23"/>
        <v>3.4949546887067689E-5</v>
      </c>
    </row>
    <row r="62" spans="1:26" x14ac:dyDescent="0.25">
      <c r="A62" s="193" t="s">
        <v>133</v>
      </c>
      <c r="B62" s="194" t="s">
        <v>133</v>
      </c>
      <c r="C62" s="195">
        <v>0</v>
      </c>
      <c r="D62" s="195">
        <v>0</v>
      </c>
      <c r="E62" s="195">
        <v>0</v>
      </c>
      <c r="F62" s="195">
        <v>0</v>
      </c>
      <c r="G62" s="195">
        <v>0</v>
      </c>
      <c r="H62" s="196" t="str">
        <f t="shared" si="24"/>
        <v>-</v>
      </c>
      <c r="I62" s="212" t="str">
        <f t="shared" si="1"/>
        <v>-</v>
      </c>
      <c r="J62" s="196">
        <f t="shared" si="25"/>
        <v>0</v>
      </c>
      <c r="K62" s="195">
        <v>0</v>
      </c>
      <c r="L62" s="195">
        <v>0</v>
      </c>
      <c r="M62" s="195">
        <v>0</v>
      </c>
      <c r="N62" s="195">
        <v>0</v>
      </c>
      <c r="O62" s="195">
        <v>0</v>
      </c>
      <c r="P62" s="196" t="str">
        <f t="shared" si="26"/>
        <v>-</v>
      </c>
      <c r="Q62" s="212" t="str">
        <f t="shared" si="9"/>
        <v>-</v>
      </c>
      <c r="R62" s="196">
        <f t="shared" si="27"/>
        <v>0</v>
      </c>
      <c r="S62" s="195">
        <v>121</v>
      </c>
      <c r="T62" s="195">
        <v>91</v>
      </c>
      <c r="U62" s="195">
        <v>153</v>
      </c>
      <c r="V62" s="195">
        <v>195</v>
      </c>
      <c r="W62" s="195">
        <v>154</v>
      </c>
      <c r="X62" s="196">
        <f t="shared" si="28"/>
        <v>-0.21025641025641029</v>
      </c>
      <c r="Y62" s="212">
        <f t="shared" si="10"/>
        <v>0.27272727272727271</v>
      </c>
      <c r="Z62" s="196">
        <f t="shared" si="23"/>
        <v>4.0509702073646636E-5</v>
      </c>
    </row>
    <row r="63" spans="1:26" x14ac:dyDescent="0.25">
      <c r="A63" s="198" t="s">
        <v>147</v>
      </c>
      <c r="B63" s="199" t="s">
        <v>147</v>
      </c>
      <c r="C63" s="200">
        <f>C55-SUM(C56:C62)</f>
        <v>0</v>
      </c>
      <c r="D63" s="200">
        <f>D55-SUM(D56:D62)</f>
        <v>0</v>
      </c>
      <c r="E63" s="200">
        <f>E55-SUM(E56:E62)</f>
        <v>0</v>
      </c>
      <c r="F63" s="200">
        <f>F55-SUM(F56:F62)</f>
        <v>0</v>
      </c>
      <c r="G63" s="200">
        <f>G55-SUM(G56:G62)</f>
        <v>0</v>
      </c>
      <c r="H63" s="201" t="str">
        <f t="shared" si="24"/>
        <v>-</v>
      </c>
      <c r="I63" s="213" t="str">
        <f t="shared" si="1"/>
        <v>-</v>
      </c>
      <c r="J63" s="201">
        <f t="shared" si="25"/>
        <v>0</v>
      </c>
      <c r="K63" s="200">
        <f>K55-SUM(K56:K62)</f>
        <v>0</v>
      </c>
      <c r="L63" s="200">
        <f>L55-SUM(L56:L62)</f>
        <v>0</v>
      </c>
      <c r="M63" s="200">
        <f>M55-SUM(M56:M62)</f>
        <v>0</v>
      </c>
      <c r="N63" s="200">
        <f>N55-SUM(N56:N62)</f>
        <v>0</v>
      </c>
      <c r="O63" s="200">
        <f>O55-SUM(O56:O62)</f>
        <v>0</v>
      </c>
      <c r="P63" s="201" t="str">
        <f t="shared" si="26"/>
        <v>-</v>
      </c>
      <c r="Q63" s="213" t="str">
        <f t="shared" si="9"/>
        <v>-</v>
      </c>
      <c r="R63" s="201">
        <f t="shared" si="27"/>
        <v>0</v>
      </c>
      <c r="S63" s="200">
        <f>S55-SUM(S56:S62)</f>
        <v>2384</v>
      </c>
      <c r="T63" s="200">
        <f>T55-SUM(T56:T62)</f>
        <v>4347</v>
      </c>
      <c r="U63" s="200">
        <f>U55-SUM(U56:U62)</f>
        <v>9249</v>
      </c>
      <c r="V63" s="200">
        <f>V55-SUM(V56:V62)</f>
        <v>10298</v>
      </c>
      <c r="W63" s="200">
        <f>W55-SUM(W56:W62)</f>
        <v>10353</v>
      </c>
      <c r="X63" s="201">
        <f t="shared" si="28"/>
        <v>5.3408428821131171E-3</v>
      </c>
      <c r="Y63" s="213">
        <f t="shared" si="10"/>
        <v>3.3427013422818792</v>
      </c>
      <c r="Z63" s="201">
        <f t="shared" si="23"/>
        <v>2.4488512057461291E-3</v>
      </c>
    </row>
    <row r="64" spans="1:26" x14ac:dyDescent="0.25">
      <c r="A64" s="1"/>
      <c r="B64" s="186" t="s">
        <v>49</v>
      </c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</row>
    <row r="65" spans="1:26" x14ac:dyDescent="0.25">
      <c r="A65" s="1" t="s">
        <v>0</v>
      </c>
      <c r="B65" s="187" t="s">
        <v>70</v>
      </c>
      <c r="C65" s="209">
        <f>C66+C69</f>
        <v>0</v>
      </c>
      <c r="D65" s="209">
        <f>D66+D69</f>
        <v>0</v>
      </c>
      <c r="E65" s="209">
        <f>E66+E69</f>
        <v>0</v>
      </c>
      <c r="F65" s="209">
        <f>F66+F69</f>
        <v>0</v>
      </c>
      <c r="G65" s="209">
        <f>G66+G69</f>
        <v>0</v>
      </c>
      <c r="H65" s="210" t="str">
        <f>IFERROR(G65/F65-1,"-")</f>
        <v>-</v>
      </c>
      <c r="I65" s="210" t="str">
        <f t="shared" si="1"/>
        <v>-</v>
      </c>
      <c r="J65" s="210">
        <f>G65/G$9</f>
        <v>0</v>
      </c>
      <c r="K65" s="209">
        <f>K66+K69</f>
        <v>0</v>
      </c>
      <c r="L65" s="209">
        <f>L66+L69</f>
        <v>0</v>
      </c>
      <c r="M65" s="209">
        <f>M66+M69</f>
        <v>0</v>
      </c>
      <c r="N65" s="209">
        <f>N66+N69</f>
        <v>0</v>
      </c>
      <c r="O65" s="209">
        <f>O66+O69</f>
        <v>0</v>
      </c>
      <c r="P65" s="210" t="str">
        <f>IFERROR(O65/N65-1,"-")</f>
        <v>-</v>
      </c>
      <c r="Q65" s="210" t="str">
        <f t="shared" si="9"/>
        <v>-</v>
      </c>
      <c r="R65" s="210">
        <f>O65/O$9</f>
        <v>0</v>
      </c>
      <c r="S65" s="209">
        <f>S66+S69</f>
        <v>54073</v>
      </c>
      <c r="T65" s="209">
        <f>T66+T69</f>
        <v>62020</v>
      </c>
      <c r="U65" s="209">
        <f>U66+U69</f>
        <v>151473</v>
      </c>
      <c r="V65" s="209">
        <f>V66+V69</f>
        <v>170958</v>
      </c>
      <c r="W65" s="209">
        <f>W66+W69</f>
        <v>191595</v>
      </c>
      <c r="X65" s="210">
        <f>IFERROR(W65/V65-1,"-")</f>
        <v>0.12071385954444946</v>
      </c>
      <c r="Y65" s="210">
        <f t="shared" si="10"/>
        <v>2.5432655854123132</v>
      </c>
      <c r="Z65" s="210">
        <f t="shared" ref="Z65:Z77" si="29">U65/U$9</f>
        <v>4.0105399360793971E-2</v>
      </c>
    </row>
    <row r="66" spans="1:26" x14ac:dyDescent="0.25">
      <c r="A66" s="1" t="s">
        <v>98</v>
      </c>
      <c r="B66" s="190" t="s">
        <v>99</v>
      </c>
      <c r="C66" s="191">
        <v>0</v>
      </c>
      <c r="D66" s="191">
        <v>0</v>
      </c>
      <c r="E66" s="191">
        <v>0</v>
      </c>
      <c r="F66" s="191">
        <v>0</v>
      </c>
      <c r="G66" s="191">
        <v>0</v>
      </c>
      <c r="H66" s="192" t="str">
        <f>IFERROR(G66/F66-1,"-")</f>
        <v>-</v>
      </c>
      <c r="I66" s="211" t="str">
        <f t="shared" si="1"/>
        <v>-</v>
      </c>
      <c r="J66" s="192">
        <f>G66/G$9</f>
        <v>0</v>
      </c>
      <c r="K66" s="191">
        <v>0</v>
      </c>
      <c r="L66" s="191">
        <v>0</v>
      </c>
      <c r="M66" s="191">
        <v>0</v>
      </c>
      <c r="N66" s="191">
        <v>0</v>
      </c>
      <c r="O66" s="191">
        <v>0</v>
      </c>
      <c r="P66" s="192" t="str">
        <f>IFERROR(O66/N66-1,"-")</f>
        <v>-</v>
      </c>
      <c r="Q66" s="211" t="str">
        <f t="shared" si="9"/>
        <v>-</v>
      </c>
      <c r="R66" s="192">
        <f>O66/O$9</f>
        <v>0</v>
      </c>
      <c r="S66" s="191">
        <v>24032</v>
      </c>
      <c r="T66" s="191">
        <v>25803</v>
      </c>
      <c r="U66" s="191">
        <v>30941</v>
      </c>
      <c r="V66" s="191">
        <v>45548</v>
      </c>
      <c r="W66" s="191">
        <v>58550</v>
      </c>
      <c r="X66" s="192">
        <f>IFERROR(W66/V66-1,"-")</f>
        <v>0.28545710020198478</v>
      </c>
      <c r="Y66" s="211">
        <f t="shared" si="10"/>
        <v>1.4363348868175767</v>
      </c>
      <c r="Z66" s="192">
        <f t="shared" si="29"/>
        <v>8.1922267441875852E-3</v>
      </c>
    </row>
    <row r="67" spans="1:26" x14ac:dyDescent="0.25">
      <c r="A67" s="193" t="s">
        <v>105</v>
      </c>
      <c r="B67" s="194" t="s">
        <v>105</v>
      </c>
      <c r="C67" s="195">
        <v>0</v>
      </c>
      <c r="D67" s="195">
        <v>0</v>
      </c>
      <c r="E67" s="195">
        <v>0</v>
      </c>
      <c r="F67" s="195">
        <v>0</v>
      </c>
      <c r="G67" s="195">
        <v>0</v>
      </c>
      <c r="H67" s="196" t="str">
        <f>IFERROR(G67/F67-1,"-")</f>
        <v>-</v>
      </c>
      <c r="I67" s="212" t="str">
        <f t="shared" si="1"/>
        <v>-</v>
      </c>
      <c r="J67" s="196">
        <f>G67/G$9</f>
        <v>0</v>
      </c>
      <c r="K67" s="195">
        <v>0</v>
      </c>
      <c r="L67" s="195">
        <v>0</v>
      </c>
      <c r="M67" s="195">
        <v>0</v>
      </c>
      <c r="N67" s="195">
        <v>0</v>
      </c>
      <c r="O67" s="195">
        <v>0</v>
      </c>
      <c r="P67" s="196" t="str">
        <f>IFERROR(O67/N67-1,"-")</f>
        <v>-</v>
      </c>
      <c r="Q67" s="212" t="str">
        <f t="shared" si="9"/>
        <v>-</v>
      </c>
      <c r="R67" s="196">
        <f>O67/O$9</f>
        <v>0</v>
      </c>
      <c r="S67" s="195">
        <v>8814</v>
      </c>
      <c r="T67" s="195">
        <v>21207</v>
      </c>
      <c r="U67" s="195">
        <v>22920</v>
      </c>
      <c r="V67" s="195">
        <v>31464</v>
      </c>
      <c r="W67" s="195">
        <v>34800</v>
      </c>
      <c r="X67" s="196">
        <f>IFERROR(W67/V67-1,"-")</f>
        <v>0.10602593440122043</v>
      </c>
      <c r="Y67" s="212">
        <f t="shared" si="10"/>
        <v>2.9482641252552755</v>
      </c>
      <c r="Z67" s="196">
        <f t="shared" si="29"/>
        <v>6.0685122322090262E-3</v>
      </c>
    </row>
    <row r="68" spans="1:26" x14ac:dyDescent="0.25">
      <c r="A68" s="193" t="s">
        <v>102</v>
      </c>
      <c r="B68" s="194" t="s">
        <v>102</v>
      </c>
      <c r="C68" s="195">
        <v>0</v>
      </c>
      <c r="D68" s="195">
        <v>0</v>
      </c>
      <c r="E68" s="195">
        <v>0</v>
      </c>
      <c r="F68" s="195">
        <v>0</v>
      </c>
      <c r="G68" s="195">
        <v>0</v>
      </c>
      <c r="H68" s="196" t="str">
        <f>IFERROR(G68/F68-1,"-")</f>
        <v>-</v>
      </c>
      <c r="I68" s="212" t="str">
        <f t="shared" si="1"/>
        <v>-</v>
      </c>
      <c r="J68" s="196">
        <f>G68/G$9</f>
        <v>0</v>
      </c>
      <c r="K68" s="195">
        <v>0</v>
      </c>
      <c r="L68" s="195">
        <v>0</v>
      </c>
      <c r="M68" s="195">
        <v>0</v>
      </c>
      <c r="N68" s="195">
        <v>0</v>
      </c>
      <c r="O68" s="195">
        <v>0</v>
      </c>
      <c r="P68" s="196" t="str">
        <f>IFERROR(O68/N68-1,"-")</f>
        <v>-</v>
      </c>
      <c r="Q68" s="212" t="str">
        <f t="shared" si="9"/>
        <v>-</v>
      </c>
      <c r="R68" s="196">
        <f>O68/O$9</f>
        <v>0</v>
      </c>
      <c r="S68" s="195">
        <v>15218</v>
      </c>
      <c r="T68" s="195">
        <v>4596</v>
      </c>
      <c r="U68" s="195">
        <v>8021</v>
      </c>
      <c r="V68" s="195">
        <v>14084</v>
      </c>
      <c r="W68" s="195">
        <v>23750</v>
      </c>
      <c r="X68" s="196">
        <f>IFERROR(W68/V68-1,"-")</f>
        <v>0.68631070718545861</v>
      </c>
      <c r="Y68" s="212">
        <f t="shared" si="10"/>
        <v>0.56065185963990016</v>
      </c>
      <c r="Z68" s="196">
        <f t="shared" si="29"/>
        <v>2.1237145119785599E-3</v>
      </c>
    </row>
    <row r="69" spans="1:26" x14ac:dyDescent="0.25">
      <c r="A69" s="1" t="s">
        <v>148</v>
      </c>
      <c r="B69" s="190" t="s">
        <v>109</v>
      </c>
      <c r="C69" s="191">
        <v>0</v>
      </c>
      <c r="D69" s="191">
        <v>0</v>
      </c>
      <c r="E69" s="191">
        <v>0</v>
      </c>
      <c r="F69" s="191">
        <v>0</v>
      </c>
      <c r="G69" s="191">
        <v>0</v>
      </c>
      <c r="H69" s="192" t="str">
        <f>IFERROR(G69/F69-1,"-")</f>
        <v>-</v>
      </c>
      <c r="I69" s="211" t="str">
        <f t="shared" si="1"/>
        <v>-</v>
      </c>
      <c r="J69" s="192">
        <f>G69/G$9</f>
        <v>0</v>
      </c>
      <c r="K69" s="191">
        <v>0</v>
      </c>
      <c r="L69" s="191">
        <v>0</v>
      </c>
      <c r="M69" s="191">
        <v>0</v>
      </c>
      <c r="N69" s="191">
        <v>0</v>
      </c>
      <c r="O69" s="191">
        <v>0</v>
      </c>
      <c r="P69" s="192" t="str">
        <f>IFERROR(O69/N69-1,"-")</f>
        <v>-</v>
      </c>
      <c r="Q69" s="211" t="str">
        <f t="shared" si="9"/>
        <v>-</v>
      </c>
      <c r="R69" s="192">
        <f>O69/O$9</f>
        <v>0</v>
      </c>
      <c r="S69" s="191">
        <v>30041</v>
      </c>
      <c r="T69" s="191">
        <v>36217</v>
      </c>
      <c r="U69" s="191">
        <v>120532</v>
      </c>
      <c r="V69" s="191">
        <v>125410</v>
      </c>
      <c r="W69" s="191">
        <v>133045</v>
      </c>
      <c r="X69" s="192">
        <f>IFERROR(W69/V69-1,"-")</f>
        <v>6.0880312574754791E-2</v>
      </c>
      <c r="Y69" s="211">
        <f t="shared" si="10"/>
        <v>3.428780666422556</v>
      </c>
      <c r="Z69" s="192">
        <f t="shared" si="29"/>
        <v>3.1913172616606381E-2</v>
      </c>
    </row>
    <row r="70" spans="1:26" x14ac:dyDescent="0.25">
      <c r="A70" s="193" t="s">
        <v>112</v>
      </c>
      <c r="B70" s="194" t="s">
        <v>112</v>
      </c>
      <c r="C70" s="195">
        <v>0</v>
      </c>
      <c r="D70" s="195">
        <v>0</v>
      </c>
      <c r="E70" s="195">
        <v>0</v>
      </c>
      <c r="F70" s="195">
        <v>0</v>
      </c>
      <c r="G70" s="195">
        <v>0</v>
      </c>
      <c r="H70" s="196" t="str">
        <f t="shared" ref="H70:H77" si="30">IFERROR(G70/F70-1,"-")</f>
        <v>-</v>
      </c>
      <c r="I70" s="212" t="str">
        <f t="shared" si="1"/>
        <v>-</v>
      </c>
      <c r="J70" s="196">
        <f t="shared" ref="J70:J77" si="31">G70/G$9</f>
        <v>0</v>
      </c>
      <c r="K70" s="195">
        <v>0</v>
      </c>
      <c r="L70" s="195">
        <v>0</v>
      </c>
      <c r="M70" s="195">
        <v>0</v>
      </c>
      <c r="N70" s="195">
        <v>0</v>
      </c>
      <c r="O70" s="195">
        <v>0</v>
      </c>
      <c r="P70" s="196" t="str">
        <f t="shared" ref="P70:P77" si="32">IFERROR(O70/N70-1,"-")</f>
        <v>-</v>
      </c>
      <c r="Q70" s="212" t="str">
        <f t="shared" si="9"/>
        <v>-</v>
      </c>
      <c r="R70" s="196">
        <f t="shared" ref="R70:R77" si="33">O70/O$9</f>
        <v>0</v>
      </c>
      <c r="S70" s="195">
        <v>13564</v>
      </c>
      <c r="T70" s="195">
        <v>7549</v>
      </c>
      <c r="U70" s="195">
        <v>52809</v>
      </c>
      <c r="V70" s="195">
        <v>48101</v>
      </c>
      <c r="W70" s="195">
        <v>45250</v>
      </c>
      <c r="X70" s="196">
        <f t="shared" ref="X70:X77" si="34">IFERROR(W70/V70-1,"-")</f>
        <v>-5.9271117024594089E-2</v>
      </c>
      <c r="Y70" s="212">
        <f t="shared" si="10"/>
        <v>2.3360365673842525</v>
      </c>
      <c r="Z70" s="196">
        <f t="shared" si="29"/>
        <v>1.3982201678478466E-2</v>
      </c>
    </row>
    <row r="71" spans="1:26" x14ac:dyDescent="0.25">
      <c r="A71" s="193" t="s">
        <v>115</v>
      </c>
      <c r="B71" s="194" t="s">
        <v>115</v>
      </c>
      <c r="C71" s="195">
        <v>0</v>
      </c>
      <c r="D71" s="195">
        <v>0</v>
      </c>
      <c r="E71" s="195">
        <v>0</v>
      </c>
      <c r="F71" s="195">
        <v>0</v>
      </c>
      <c r="G71" s="195">
        <v>0</v>
      </c>
      <c r="H71" s="196" t="str">
        <f t="shared" si="30"/>
        <v>-</v>
      </c>
      <c r="I71" s="212" t="str">
        <f t="shared" si="1"/>
        <v>-</v>
      </c>
      <c r="J71" s="196">
        <f t="shared" si="31"/>
        <v>0</v>
      </c>
      <c r="K71" s="195">
        <v>0</v>
      </c>
      <c r="L71" s="195">
        <v>0</v>
      </c>
      <c r="M71" s="195">
        <v>0</v>
      </c>
      <c r="N71" s="195">
        <v>0</v>
      </c>
      <c r="O71" s="195">
        <v>0</v>
      </c>
      <c r="P71" s="196" t="str">
        <f t="shared" si="32"/>
        <v>-</v>
      </c>
      <c r="Q71" s="212" t="str">
        <f t="shared" si="9"/>
        <v>-</v>
      </c>
      <c r="R71" s="196">
        <f t="shared" si="33"/>
        <v>0</v>
      </c>
      <c r="S71" s="195">
        <v>3277</v>
      </c>
      <c r="T71" s="195">
        <v>3513</v>
      </c>
      <c r="U71" s="195">
        <v>7009</v>
      </c>
      <c r="V71" s="195">
        <v>9961</v>
      </c>
      <c r="W71" s="195">
        <v>9892</v>
      </c>
      <c r="X71" s="196">
        <f t="shared" si="34"/>
        <v>-6.9270153599035877E-3</v>
      </c>
      <c r="Y71" s="212">
        <f t="shared" si="10"/>
        <v>2.0186145865120535</v>
      </c>
      <c r="Z71" s="196">
        <f t="shared" si="29"/>
        <v>1.8557679858443744E-3</v>
      </c>
    </row>
    <row r="72" spans="1:26" x14ac:dyDescent="0.25">
      <c r="A72" s="193" t="s">
        <v>118</v>
      </c>
      <c r="B72" s="194" t="s">
        <v>118</v>
      </c>
      <c r="C72" s="195">
        <v>0</v>
      </c>
      <c r="D72" s="195">
        <v>0</v>
      </c>
      <c r="E72" s="195">
        <v>0</v>
      </c>
      <c r="F72" s="195">
        <v>0</v>
      </c>
      <c r="G72" s="195">
        <v>0</v>
      </c>
      <c r="H72" s="196" t="str">
        <f t="shared" si="30"/>
        <v>-</v>
      </c>
      <c r="I72" s="212" t="str">
        <f t="shared" si="1"/>
        <v>-</v>
      </c>
      <c r="J72" s="196">
        <f t="shared" si="31"/>
        <v>0</v>
      </c>
      <c r="K72" s="195">
        <v>0</v>
      </c>
      <c r="L72" s="195">
        <v>0</v>
      </c>
      <c r="M72" s="195">
        <v>0</v>
      </c>
      <c r="N72" s="195">
        <v>0</v>
      </c>
      <c r="O72" s="195">
        <v>0</v>
      </c>
      <c r="P72" s="196" t="str">
        <f t="shared" si="32"/>
        <v>-</v>
      </c>
      <c r="Q72" s="212" t="str">
        <f t="shared" si="9"/>
        <v>-</v>
      </c>
      <c r="R72" s="196">
        <f t="shared" si="33"/>
        <v>0</v>
      </c>
      <c r="S72" s="195">
        <v>3407</v>
      </c>
      <c r="T72" s="195">
        <v>6247</v>
      </c>
      <c r="U72" s="195">
        <v>17604</v>
      </c>
      <c r="V72" s="195">
        <v>15357</v>
      </c>
      <c r="W72" s="195">
        <v>19078</v>
      </c>
      <c r="X72" s="196">
        <f t="shared" si="34"/>
        <v>0.24229992837142666</v>
      </c>
      <c r="Y72" s="212">
        <f t="shared" si="10"/>
        <v>4.599647783974171</v>
      </c>
      <c r="Z72" s="196">
        <f t="shared" si="29"/>
        <v>4.6609986621207545E-3</v>
      </c>
    </row>
    <row r="73" spans="1:26" x14ac:dyDescent="0.25">
      <c r="A73" s="193" t="s">
        <v>125</v>
      </c>
      <c r="B73" s="194" t="s">
        <v>125</v>
      </c>
      <c r="C73" s="195">
        <v>0</v>
      </c>
      <c r="D73" s="195">
        <v>0</v>
      </c>
      <c r="E73" s="195">
        <v>0</v>
      </c>
      <c r="F73" s="195">
        <v>0</v>
      </c>
      <c r="G73" s="195">
        <v>0</v>
      </c>
      <c r="H73" s="196" t="str">
        <f t="shared" si="30"/>
        <v>-</v>
      </c>
      <c r="I73" s="212" t="str">
        <f t="shared" si="1"/>
        <v>-</v>
      </c>
      <c r="J73" s="196">
        <f t="shared" si="31"/>
        <v>0</v>
      </c>
      <c r="K73" s="195">
        <v>0</v>
      </c>
      <c r="L73" s="195">
        <v>0</v>
      </c>
      <c r="M73" s="195">
        <v>0</v>
      </c>
      <c r="N73" s="195">
        <v>0</v>
      </c>
      <c r="O73" s="195">
        <v>0</v>
      </c>
      <c r="P73" s="196" t="str">
        <f t="shared" si="32"/>
        <v>-</v>
      </c>
      <c r="Q73" s="212" t="str">
        <f t="shared" si="9"/>
        <v>-</v>
      </c>
      <c r="R73" s="196">
        <f t="shared" si="33"/>
        <v>0</v>
      </c>
      <c r="S73" s="195">
        <v>502</v>
      </c>
      <c r="T73" s="195">
        <v>1777</v>
      </c>
      <c r="U73" s="195">
        <v>2468</v>
      </c>
      <c r="V73" s="195">
        <v>3478</v>
      </c>
      <c r="W73" s="195">
        <v>4281</v>
      </c>
      <c r="X73" s="196">
        <f t="shared" si="34"/>
        <v>0.23087981598619889</v>
      </c>
      <c r="Y73" s="212">
        <f t="shared" si="10"/>
        <v>7.5278884462151403</v>
      </c>
      <c r="Z73" s="196">
        <f t="shared" si="29"/>
        <v>6.5345061907032612E-4</v>
      </c>
    </row>
    <row r="74" spans="1:26" x14ac:dyDescent="0.25">
      <c r="A74" s="193" t="s">
        <v>121</v>
      </c>
      <c r="B74" s="194" t="s">
        <v>121</v>
      </c>
      <c r="C74" s="195">
        <v>0</v>
      </c>
      <c r="D74" s="195">
        <v>0</v>
      </c>
      <c r="E74" s="195">
        <v>0</v>
      </c>
      <c r="F74" s="195">
        <v>0</v>
      </c>
      <c r="G74" s="195">
        <v>0</v>
      </c>
      <c r="H74" s="196" t="str">
        <f t="shared" si="30"/>
        <v>-</v>
      </c>
      <c r="I74" s="212" t="str">
        <f t="shared" ref="I74:I137" si="35">IFERROR(G74/C74-1,"-")</f>
        <v>-</v>
      </c>
      <c r="J74" s="196">
        <f t="shared" si="31"/>
        <v>0</v>
      </c>
      <c r="K74" s="195">
        <v>0</v>
      </c>
      <c r="L74" s="195">
        <v>0</v>
      </c>
      <c r="M74" s="195">
        <v>0</v>
      </c>
      <c r="N74" s="195">
        <v>0</v>
      </c>
      <c r="O74" s="195">
        <v>0</v>
      </c>
      <c r="P74" s="196" t="str">
        <f t="shared" si="32"/>
        <v>-</v>
      </c>
      <c r="Q74" s="212" t="str">
        <f t="shared" si="9"/>
        <v>-</v>
      </c>
      <c r="R74" s="196">
        <f t="shared" si="33"/>
        <v>0</v>
      </c>
      <c r="S74" s="195">
        <v>1200</v>
      </c>
      <c r="T74" s="195">
        <v>1607</v>
      </c>
      <c r="U74" s="195">
        <v>2853</v>
      </c>
      <c r="V74" s="195">
        <v>2272</v>
      </c>
      <c r="W74" s="195">
        <v>3870</v>
      </c>
      <c r="X74" s="196">
        <f t="shared" si="34"/>
        <v>0.70334507042253525</v>
      </c>
      <c r="Y74" s="212">
        <f t="shared" si="10"/>
        <v>2.2250000000000001</v>
      </c>
      <c r="Z74" s="196">
        <f t="shared" si="29"/>
        <v>7.5538679749094029E-4</v>
      </c>
    </row>
    <row r="75" spans="1:26" x14ac:dyDescent="0.25">
      <c r="A75" s="193" t="s">
        <v>130</v>
      </c>
      <c r="B75" s="194" t="s">
        <v>130</v>
      </c>
      <c r="C75" s="195">
        <v>0</v>
      </c>
      <c r="D75" s="195">
        <v>0</v>
      </c>
      <c r="E75" s="195">
        <v>0</v>
      </c>
      <c r="F75" s="195">
        <v>0</v>
      </c>
      <c r="G75" s="195">
        <v>0</v>
      </c>
      <c r="H75" s="196" t="str">
        <f t="shared" si="30"/>
        <v>-</v>
      </c>
      <c r="I75" s="212" t="str">
        <f t="shared" si="35"/>
        <v>-</v>
      </c>
      <c r="J75" s="196">
        <f t="shared" si="31"/>
        <v>0</v>
      </c>
      <c r="K75" s="195">
        <v>0</v>
      </c>
      <c r="L75" s="195">
        <v>0</v>
      </c>
      <c r="M75" s="195">
        <v>0</v>
      </c>
      <c r="N75" s="195">
        <v>0</v>
      </c>
      <c r="O75" s="195">
        <v>0</v>
      </c>
      <c r="P75" s="196" t="str">
        <f t="shared" si="32"/>
        <v>-</v>
      </c>
      <c r="Q75" s="212" t="str">
        <f t="shared" si="9"/>
        <v>-</v>
      </c>
      <c r="R75" s="196">
        <f t="shared" si="33"/>
        <v>0</v>
      </c>
      <c r="S75" s="195">
        <v>651</v>
      </c>
      <c r="T75" s="195">
        <v>1674</v>
      </c>
      <c r="U75" s="195">
        <v>2685</v>
      </c>
      <c r="V75" s="195">
        <v>3745</v>
      </c>
      <c r="W75" s="195">
        <v>2300</v>
      </c>
      <c r="X75" s="196">
        <f t="shared" si="34"/>
        <v>-0.3858477970627503</v>
      </c>
      <c r="Y75" s="212">
        <f t="shared" si="10"/>
        <v>2.5330261136712751</v>
      </c>
      <c r="Z75" s="196">
        <f t="shared" si="29"/>
        <v>7.1090555599830866E-4</v>
      </c>
    </row>
    <row r="76" spans="1:26" x14ac:dyDescent="0.25">
      <c r="A76" s="193" t="s">
        <v>133</v>
      </c>
      <c r="B76" s="194" t="s">
        <v>133</v>
      </c>
      <c r="C76" s="195">
        <v>0</v>
      </c>
      <c r="D76" s="195">
        <v>0</v>
      </c>
      <c r="E76" s="195">
        <v>0</v>
      </c>
      <c r="F76" s="195">
        <v>0</v>
      </c>
      <c r="G76" s="195">
        <v>0</v>
      </c>
      <c r="H76" s="196" t="str">
        <f t="shared" si="30"/>
        <v>-</v>
      </c>
      <c r="I76" s="212" t="str">
        <f t="shared" si="35"/>
        <v>-</v>
      </c>
      <c r="J76" s="196">
        <f t="shared" si="31"/>
        <v>0</v>
      </c>
      <c r="K76" s="195">
        <v>0</v>
      </c>
      <c r="L76" s="195">
        <v>0</v>
      </c>
      <c r="M76" s="195">
        <v>0</v>
      </c>
      <c r="N76" s="195">
        <v>0</v>
      </c>
      <c r="O76" s="195">
        <v>0</v>
      </c>
      <c r="P76" s="196" t="str">
        <f t="shared" si="32"/>
        <v>-</v>
      </c>
      <c r="Q76" s="212" t="str">
        <f t="shared" si="9"/>
        <v>-</v>
      </c>
      <c r="R76" s="196">
        <f t="shared" si="33"/>
        <v>0</v>
      </c>
      <c r="S76" s="195">
        <v>907</v>
      </c>
      <c r="T76" s="195">
        <v>154</v>
      </c>
      <c r="U76" s="195">
        <v>799</v>
      </c>
      <c r="V76" s="195">
        <v>1039</v>
      </c>
      <c r="W76" s="195">
        <v>628</v>
      </c>
      <c r="X76" s="196">
        <f t="shared" si="34"/>
        <v>-0.39557266602502406</v>
      </c>
      <c r="Y76" s="212">
        <f t="shared" si="10"/>
        <v>-0.30760749724366043</v>
      </c>
      <c r="Z76" s="196">
        <f t="shared" si="29"/>
        <v>2.1155066638459911E-4</v>
      </c>
    </row>
    <row r="77" spans="1:26" x14ac:dyDescent="0.25">
      <c r="A77" s="198" t="s">
        <v>147</v>
      </c>
      <c r="B77" s="199" t="s">
        <v>147</v>
      </c>
      <c r="C77" s="200">
        <f>C69-SUM(C70:C76)</f>
        <v>0</v>
      </c>
      <c r="D77" s="200">
        <f>D69-SUM(D70:D76)</f>
        <v>0</v>
      </c>
      <c r="E77" s="200">
        <f>E69-SUM(E70:E76)</f>
        <v>0</v>
      </c>
      <c r="F77" s="200">
        <f>F69-SUM(F70:F76)</f>
        <v>0</v>
      </c>
      <c r="G77" s="200">
        <f>G69-SUM(G70:G76)</f>
        <v>0</v>
      </c>
      <c r="H77" s="201" t="str">
        <f t="shared" si="30"/>
        <v>-</v>
      </c>
      <c r="I77" s="213" t="str">
        <f t="shared" si="35"/>
        <v>-</v>
      </c>
      <c r="J77" s="201">
        <f t="shared" si="31"/>
        <v>0</v>
      </c>
      <c r="K77" s="200">
        <f>K69-SUM(K70:K76)</f>
        <v>0</v>
      </c>
      <c r="L77" s="200">
        <f>L69-SUM(L70:L76)</f>
        <v>0</v>
      </c>
      <c r="M77" s="200">
        <f>M69-SUM(M70:M76)</f>
        <v>0</v>
      </c>
      <c r="N77" s="200">
        <f>N69-SUM(N70:N76)</f>
        <v>0</v>
      </c>
      <c r="O77" s="200">
        <f>O69-SUM(O70:O76)</f>
        <v>0</v>
      </c>
      <c r="P77" s="201" t="str">
        <f t="shared" si="32"/>
        <v>-</v>
      </c>
      <c r="Q77" s="213" t="str">
        <f t="shared" si="9"/>
        <v>-</v>
      </c>
      <c r="R77" s="201">
        <f t="shared" si="33"/>
        <v>0</v>
      </c>
      <c r="S77" s="200">
        <f>S69-SUM(S70:S76)</f>
        <v>6533</v>
      </c>
      <c r="T77" s="200">
        <f>T69-SUM(T70:T76)</f>
        <v>13696</v>
      </c>
      <c r="U77" s="200">
        <f>U69-SUM(U70:U76)</f>
        <v>34305</v>
      </c>
      <c r="V77" s="200">
        <f>V69-SUM(V70:V76)</f>
        <v>41457</v>
      </c>
      <c r="W77" s="200">
        <f>W69-SUM(W70:W76)</f>
        <v>47746</v>
      </c>
      <c r="X77" s="201">
        <f t="shared" si="34"/>
        <v>0.15169935113491095</v>
      </c>
      <c r="Y77" s="213">
        <f t="shared" si="10"/>
        <v>6.3084341037808054</v>
      </c>
      <c r="Z77" s="201">
        <f t="shared" si="29"/>
        <v>9.0829106512186134E-3</v>
      </c>
    </row>
    <row r="78" spans="1:26" x14ac:dyDescent="0.25">
      <c r="A78" s="1"/>
      <c r="B78" s="186" t="s">
        <v>50</v>
      </c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</row>
    <row r="79" spans="1:26" x14ac:dyDescent="0.25">
      <c r="A79" s="1" t="s">
        <v>0</v>
      </c>
      <c r="B79" s="187" t="s">
        <v>70</v>
      </c>
      <c r="C79" s="209">
        <f>C80+C83</f>
        <v>34055</v>
      </c>
      <c r="D79" s="209">
        <f>D80+D83</f>
        <v>70827</v>
      </c>
      <c r="E79" s="209">
        <f>E80+E83</f>
        <v>98456</v>
      </c>
      <c r="F79" s="209">
        <f>F80+F83</f>
        <v>103299</v>
      </c>
      <c r="G79" s="209">
        <f>G80+G83</f>
        <v>118688</v>
      </c>
      <c r="H79" s="210">
        <f>IFERROR(G79/F79-1,"-")</f>
        <v>0.14897530469801246</v>
      </c>
      <c r="I79" s="210">
        <f t="shared" si="35"/>
        <v>2.4851857289678461</v>
      </c>
      <c r="J79" s="210">
        <f>G79/G$9</f>
        <v>0.15641333140048233</v>
      </c>
      <c r="K79" s="209">
        <f>K80+K83</f>
        <v>143122</v>
      </c>
      <c r="L79" s="209">
        <f>L80+L83</f>
        <v>214429</v>
      </c>
      <c r="M79" s="209">
        <f>M80+M83</f>
        <v>476344</v>
      </c>
      <c r="N79" s="209">
        <f>N80+N83</f>
        <v>549349</v>
      </c>
      <c r="O79" s="209">
        <f>O80+O83</f>
        <v>622363</v>
      </c>
      <c r="P79" s="210">
        <f>IFERROR(O79/N79-1,"-")</f>
        <v>0.13291004443441246</v>
      </c>
      <c r="Q79" s="210">
        <f t="shared" si="9"/>
        <v>3.3484789200821679</v>
      </c>
      <c r="R79" s="210">
        <f>O79/O$9</f>
        <v>0.17676598983762351</v>
      </c>
      <c r="S79" s="209">
        <f>S80+S83</f>
        <v>177177</v>
      </c>
      <c r="T79" s="209">
        <f>T80+T83</f>
        <v>285256</v>
      </c>
      <c r="U79" s="209">
        <f>U80+U83</f>
        <v>574800</v>
      </c>
      <c r="V79" s="209">
        <f>V80+V83</f>
        <v>652648</v>
      </c>
      <c r="W79" s="209">
        <f>W80+W83</f>
        <v>741051</v>
      </c>
      <c r="X79" s="210">
        <f>IFERROR(W79/V79-1,"-")</f>
        <v>0.13545280151015548</v>
      </c>
      <c r="Y79" s="210">
        <f t="shared" si="10"/>
        <v>3.1825462672920297</v>
      </c>
      <c r="Z79" s="210">
        <f t="shared" ref="Z79:Z91" si="36">U79/U$9</f>
        <v>0.15218939053550384</v>
      </c>
    </row>
    <row r="80" spans="1:26" x14ac:dyDescent="0.25">
      <c r="A80" s="1" t="s">
        <v>98</v>
      </c>
      <c r="B80" s="190" t="s">
        <v>99</v>
      </c>
      <c r="C80" s="191">
        <v>15296</v>
      </c>
      <c r="D80" s="191">
        <v>38077</v>
      </c>
      <c r="E80" s="191">
        <v>48839</v>
      </c>
      <c r="F80" s="191">
        <v>49185</v>
      </c>
      <c r="G80" s="191">
        <v>55960</v>
      </c>
      <c r="H80" s="192">
        <f>IFERROR(G80/F80-1,"-")</f>
        <v>0.13774524753481754</v>
      </c>
      <c r="I80" s="211">
        <f t="shared" si="35"/>
        <v>2.6584728033472804</v>
      </c>
      <c r="J80" s="192">
        <f>G80/G$9</f>
        <v>7.3747051304015501E-2</v>
      </c>
      <c r="K80" s="191">
        <v>67449</v>
      </c>
      <c r="L80" s="191">
        <v>109519</v>
      </c>
      <c r="M80" s="191">
        <v>230615</v>
      </c>
      <c r="N80" s="191">
        <v>229974</v>
      </c>
      <c r="O80" s="191">
        <v>243808</v>
      </c>
      <c r="P80" s="192">
        <f>IFERROR(O80/N80-1,"-")</f>
        <v>6.0154626175132897E-2</v>
      </c>
      <c r="Q80" s="211">
        <f t="shared" si="9"/>
        <v>2.6147014781538642</v>
      </c>
      <c r="R80" s="192">
        <f>O80/O$9</f>
        <v>6.9247308163131988E-2</v>
      </c>
      <c r="S80" s="191">
        <v>82745</v>
      </c>
      <c r="T80" s="191">
        <v>147596</v>
      </c>
      <c r="U80" s="191">
        <v>279454</v>
      </c>
      <c r="V80" s="191">
        <v>279159</v>
      </c>
      <c r="W80" s="191">
        <v>299768</v>
      </c>
      <c r="X80" s="192">
        <f>IFERROR(W80/V80-1,"-")</f>
        <v>7.3825311023467011E-2</v>
      </c>
      <c r="Y80" s="211">
        <f t="shared" si="10"/>
        <v>2.6227929180010876</v>
      </c>
      <c r="Z80" s="192">
        <f t="shared" si="36"/>
        <v>7.3990838452868288E-2</v>
      </c>
    </row>
    <row r="81" spans="1:26" x14ac:dyDescent="0.25">
      <c r="A81" s="193" t="s">
        <v>105</v>
      </c>
      <c r="B81" s="194" t="s">
        <v>105</v>
      </c>
      <c r="C81" s="195">
        <v>7696</v>
      </c>
      <c r="D81" s="195">
        <v>24218</v>
      </c>
      <c r="E81" s="195">
        <v>29828</v>
      </c>
      <c r="F81" s="195">
        <v>29979</v>
      </c>
      <c r="G81" s="195">
        <v>30308</v>
      </c>
      <c r="H81" s="196">
        <f>IFERROR(G81/F81-1,"-")</f>
        <v>1.0974348710764303E-2</v>
      </c>
      <c r="I81" s="212">
        <f t="shared" si="35"/>
        <v>2.938149688149688</v>
      </c>
      <c r="J81" s="196">
        <f>G81/G$9</f>
        <v>3.9941487328843846E-2</v>
      </c>
      <c r="K81" s="195">
        <v>11781</v>
      </c>
      <c r="L81" s="195">
        <v>24585</v>
      </c>
      <c r="M81" s="195">
        <v>36378</v>
      </c>
      <c r="N81" s="195">
        <v>30210</v>
      </c>
      <c r="O81" s="195">
        <v>42021</v>
      </c>
      <c r="P81" s="196">
        <f>IFERROR(O81/N81-1,"-")</f>
        <v>0.39096325719960268</v>
      </c>
      <c r="Q81" s="212">
        <f t="shared" si="9"/>
        <v>2.5668449197860963</v>
      </c>
      <c r="R81" s="196">
        <f>O81/O$9</f>
        <v>1.1934969879261424E-2</v>
      </c>
      <c r="S81" s="195">
        <v>19477</v>
      </c>
      <c r="T81" s="195">
        <v>48803</v>
      </c>
      <c r="U81" s="195">
        <v>66206</v>
      </c>
      <c r="V81" s="195">
        <v>60189</v>
      </c>
      <c r="W81" s="195">
        <v>72329</v>
      </c>
      <c r="X81" s="196">
        <f>IFERROR(W81/V81-1,"-")</f>
        <v>0.20169798468158628</v>
      </c>
      <c r="Y81" s="212">
        <f t="shared" si="10"/>
        <v>2.713559583098013</v>
      </c>
      <c r="Z81" s="196">
        <f t="shared" si="36"/>
        <v>1.7529315918221239E-2</v>
      </c>
    </row>
    <row r="82" spans="1:26" x14ac:dyDescent="0.25">
      <c r="A82" s="193" t="s">
        <v>102</v>
      </c>
      <c r="B82" s="194" t="s">
        <v>102</v>
      </c>
      <c r="C82" s="195">
        <v>7600</v>
      </c>
      <c r="D82" s="195">
        <v>13859</v>
      </c>
      <c r="E82" s="195">
        <v>19011</v>
      </c>
      <c r="F82" s="195">
        <v>19206</v>
      </c>
      <c r="G82" s="195">
        <v>25652</v>
      </c>
      <c r="H82" s="196">
        <f>IFERROR(G82/F82-1,"-")</f>
        <v>0.33562428407789224</v>
      </c>
      <c r="I82" s="212">
        <f t="shared" si="35"/>
        <v>2.3752631578947367</v>
      </c>
      <c r="J82" s="196">
        <f>G82/G$9</f>
        <v>3.3805563975171649E-2</v>
      </c>
      <c r="K82" s="195">
        <v>55668</v>
      </c>
      <c r="L82" s="195">
        <v>84934</v>
      </c>
      <c r="M82" s="195">
        <v>194237</v>
      </c>
      <c r="N82" s="195">
        <v>199764</v>
      </c>
      <c r="O82" s="195">
        <v>201787</v>
      </c>
      <c r="P82" s="196">
        <f>IFERROR(O82/N82-1,"-")</f>
        <v>1.0126949800765006E-2</v>
      </c>
      <c r="Q82" s="212">
        <f t="shared" si="9"/>
        <v>2.6248293454049003</v>
      </c>
      <c r="R82" s="196">
        <f>O82/O$9</f>
        <v>5.7312338283870563E-2</v>
      </c>
      <c r="S82" s="195">
        <v>63268</v>
      </c>
      <c r="T82" s="195">
        <v>98793</v>
      </c>
      <c r="U82" s="195">
        <v>213248</v>
      </c>
      <c r="V82" s="195">
        <v>218970</v>
      </c>
      <c r="W82" s="195">
        <v>227439</v>
      </c>
      <c r="X82" s="196">
        <f>IFERROR(W82/V82-1,"-")</f>
        <v>3.8676531031648143E-2</v>
      </c>
      <c r="Y82" s="212">
        <f t="shared" si="10"/>
        <v>2.5948504773345134</v>
      </c>
      <c r="Z82" s="196">
        <f t="shared" si="36"/>
        <v>5.6461522534647049E-2</v>
      </c>
    </row>
    <row r="83" spans="1:26" x14ac:dyDescent="0.25">
      <c r="A83" s="1" t="s">
        <v>148</v>
      </c>
      <c r="B83" s="190" t="s">
        <v>109</v>
      </c>
      <c r="C83" s="191">
        <v>18759</v>
      </c>
      <c r="D83" s="191">
        <v>32750</v>
      </c>
      <c r="E83" s="191">
        <v>49617</v>
      </c>
      <c r="F83" s="191">
        <v>54114</v>
      </c>
      <c r="G83" s="191">
        <v>62728</v>
      </c>
      <c r="H83" s="192">
        <f>IFERROR(G83/F83-1,"-")</f>
        <v>0.15918246664449121</v>
      </c>
      <c r="I83" s="211">
        <f t="shared" si="35"/>
        <v>2.3438882669651901</v>
      </c>
      <c r="J83" s="192">
        <f>G83/G$9</f>
        <v>8.2666280096466843E-2</v>
      </c>
      <c r="K83" s="191">
        <v>75673</v>
      </c>
      <c r="L83" s="191">
        <v>104910</v>
      </c>
      <c r="M83" s="191">
        <v>245729</v>
      </c>
      <c r="N83" s="191">
        <v>319375</v>
      </c>
      <c r="O83" s="191">
        <v>378555</v>
      </c>
      <c r="P83" s="192">
        <f>IFERROR(O83/N83-1,"-")</f>
        <v>0.18529941291585117</v>
      </c>
      <c r="Q83" s="211">
        <f t="shared" si="9"/>
        <v>4.0025108030605372</v>
      </c>
      <c r="R83" s="192">
        <f>O83/O$9</f>
        <v>0.10751868167449152</v>
      </c>
      <c r="S83" s="191">
        <v>94432</v>
      </c>
      <c r="T83" s="191">
        <v>137660</v>
      </c>
      <c r="U83" s="191">
        <v>295346</v>
      </c>
      <c r="V83" s="191">
        <v>373489</v>
      </c>
      <c r="W83" s="191">
        <v>441283</v>
      </c>
      <c r="X83" s="192">
        <f>IFERROR(W83/V83-1,"-")</f>
        <v>0.18151538599530381</v>
      </c>
      <c r="Y83" s="211">
        <f t="shared" si="10"/>
        <v>3.6730239749237548</v>
      </c>
      <c r="Z83" s="192">
        <f t="shared" si="36"/>
        <v>7.8198552082635556E-2</v>
      </c>
    </row>
    <row r="84" spans="1:26" x14ac:dyDescent="0.25">
      <c r="A84" s="193" t="s">
        <v>112</v>
      </c>
      <c r="B84" s="194" t="s">
        <v>112</v>
      </c>
      <c r="C84" s="195">
        <v>2578</v>
      </c>
      <c r="D84" s="195">
        <v>3228</v>
      </c>
      <c r="E84" s="195">
        <v>5828</v>
      </c>
      <c r="F84" s="195">
        <v>7060</v>
      </c>
      <c r="G84" s="195">
        <v>9146</v>
      </c>
      <c r="H84" s="196">
        <f t="shared" ref="H84:H91" si="37">IFERROR(G84/F84-1,"-")</f>
        <v>0.29546742209631738</v>
      </c>
      <c r="I84" s="212">
        <f t="shared" si="35"/>
        <v>2.5477114041892941</v>
      </c>
      <c r="J84" s="196">
        <f t="shared" ref="J84:J91" si="38">G84/G$9</f>
        <v>1.2053083116985807E-2</v>
      </c>
      <c r="K84" s="195">
        <v>15879</v>
      </c>
      <c r="L84" s="195">
        <v>11210</v>
      </c>
      <c r="M84" s="195">
        <v>56300</v>
      </c>
      <c r="N84" s="195">
        <v>75139</v>
      </c>
      <c r="O84" s="195">
        <v>87125</v>
      </c>
      <c r="P84" s="196">
        <f t="shared" ref="P84:P91" si="39">IFERROR(O84/N84-1,"-")</f>
        <v>0.15951769387402015</v>
      </c>
      <c r="Q84" s="212">
        <f t="shared" si="9"/>
        <v>4.4868064739593176</v>
      </c>
      <c r="R84" s="196">
        <f t="shared" ref="R84:R91" si="40">O84/O$9</f>
        <v>2.4745585557950825E-2</v>
      </c>
      <c r="S84" s="195">
        <v>18457</v>
      </c>
      <c r="T84" s="195">
        <v>14438</v>
      </c>
      <c r="U84" s="195">
        <v>62128</v>
      </c>
      <c r="V84" s="195">
        <v>82199</v>
      </c>
      <c r="W84" s="195">
        <v>96271</v>
      </c>
      <c r="X84" s="196">
        <f t="shared" ref="X84:X91" si="41">IFERROR(W84/V84-1,"-")</f>
        <v>0.17119429676760056</v>
      </c>
      <c r="Y84" s="212">
        <f t="shared" si="10"/>
        <v>4.2159614238500298</v>
      </c>
      <c r="Z84" s="196">
        <f t="shared" si="36"/>
        <v>1.6449586734846526E-2</v>
      </c>
    </row>
    <row r="85" spans="1:26" x14ac:dyDescent="0.25">
      <c r="A85" s="193" t="s">
        <v>115</v>
      </c>
      <c r="B85" s="194" t="s">
        <v>115</v>
      </c>
      <c r="C85" s="195">
        <v>5409</v>
      </c>
      <c r="D85" s="195">
        <v>8563</v>
      </c>
      <c r="E85" s="195">
        <v>13220</v>
      </c>
      <c r="F85" s="195">
        <v>14980</v>
      </c>
      <c r="G85" s="195">
        <v>15604</v>
      </c>
      <c r="H85" s="196">
        <f t="shared" si="37"/>
        <v>4.1655540720961337E-2</v>
      </c>
      <c r="I85" s="212">
        <f t="shared" si="35"/>
        <v>1.8848215936402291</v>
      </c>
      <c r="J85" s="196">
        <f t="shared" si="38"/>
        <v>2.0563777493707251E-2</v>
      </c>
      <c r="K85" s="195">
        <v>27251</v>
      </c>
      <c r="L85" s="195">
        <v>36097</v>
      </c>
      <c r="M85" s="195">
        <v>84214</v>
      </c>
      <c r="N85" s="195">
        <v>96686</v>
      </c>
      <c r="O85" s="195">
        <v>107377</v>
      </c>
      <c r="P85" s="196">
        <f t="shared" si="39"/>
        <v>0.11057443683677048</v>
      </c>
      <c r="Q85" s="212">
        <f t="shared" si="9"/>
        <v>2.9402957689626068</v>
      </c>
      <c r="R85" s="196">
        <f t="shared" si="40"/>
        <v>3.0497638340959376E-2</v>
      </c>
      <c r="S85" s="195">
        <v>32660</v>
      </c>
      <c r="T85" s="195">
        <v>44660</v>
      </c>
      <c r="U85" s="195">
        <v>97434</v>
      </c>
      <c r="V85" s="195">
        <v>111666</v>
      </c>
      <c r="W85" s="195">
        <v>122981</v>
      </c>
      <c r="X85" s="196">
        <f t="shared" si="41"/>
        <v>0.101328963157989</v>
      </c>
      <c r="Y85" s="212">
        <f t="shared" si="10"/>
        <v>2.7654929577464791</v>
      </c>
      <c r="Z85" s="196">
        <f t="shared" si="36"/>
        <v>2.5797531449958735E-2</v>
      </c>
    </row>
    <row r="86" spans="1:26" x14ac:dyDescent="0.25">
      <c r="A86" s="193" t="s">
        <v>118</v>
      </c>
      <c r="B86" s="194" t="s">
        <v>118</v>
      </c>
      <c r="C86" s="195">
        <v>1714</v>
      </c>
      <c r="D86" s="195">
        <v>5280</v>
      </c>
      <c r="E86" s="195">
        <v>5870</v>
      </c>
      <c r="F86" s="195">
        <v>5315</v>
      </c>
      <c r="G86" s="195">
        <v>6020</v>
      </c>
      <c r="H86" s="196">
        <f t="shared" si="37"/>
        <v>0.13264346190028231</v>
      </c>
      <c r="I86" s="212">
        <f t="shared" si="35"/>
        <v>2.5122520420070011</v>
      </c>
      <c r="J86" s="196">
        <f t="shared" si="38"/>
        <v>7.933474782883726E-3</v>
      </c>
      <c r="K86" s="195">
        <v>5151</v>
      </c>
      <c r="L86" s="195">
        <v>11108</v>
      </c>
      <c r="M86" s="195">
        <v>20133</v>
      </c>
      <c r="N86" s="195">
        <v>32539</v>
      </c>
      <c r="O86" s="195">
        <v>46070</v>
      </c>
      <c r="P86" s="196">
        <f t="shared" si="39"/>
        <v>0.41583945419342938</v>
      </c>
      <c r="Q86" s="212">
        <f t="shared" si="9"/>
        <v>7.9438943894389435</v>
      </c>
      <c r="R86" s="196">
        <f t="shared" si="40"/>
        <v>1.3084982802350582E-2</v>
      </c>
      <c r="S86" s="195">
        <v>6865</v>
      </c>
      <c r="T86" s="195">
        <v>16388</v>
      </c>
      <c r="U86" s="195">
        <v>26003</v>
      </c>
      <c r="V86" s="195">
        <v>37854</v>
      </c>
      <c r="W86" s="195">
        <v>52090</v>
      </c>
      <c r="X86" s="196">
        <f t="shared" si="41"/>
        <v>0.37607650446452157</v>
      </c>
      <c r="Y86" s="212">
        <f t="shared" si="10"/>
        <v>6.5877640203932994</v>
      </c>
      <c r="Z86" s="196">
        <f t="shared" si="36"/>
        <v>6.8847959674577354E-3</v>
      </c>
    </row>
    <row r="87" spans="1:26" x14ac:dyDescent="0.25">
      <c r="A87" s="193" t="s">
        <v>125</v>
      </c>
      <c r="B87" s="194" t="s">
        <v>125</v>
      </c>
      <c r="C87" s="195">
        <v>286</v>
      </c>
      <c r="D87" s="195">
        <v>921</v>
      </c>
      <c r="E87" s="195">
        <v>1133</v>
      </c>
      <c r="F87" s="195">
        <v>1153</v>
      </c>
      <c r="G87" s="195">
        <v>1481</v>
      </c>
      <c r="H87" s="196">
        <f t="shared" si="37"/>
        <v>0.28447528187337379</v>
      </c>
      <c r="I87" s="212">
        <f t="shared" si="35"/>
        <v>4.1783216783216783</v>
      </c>
      <c r="J87" s="196">
        <f t="shared" si="38"/>
        <v>1.951740224825714E-3</v>
      </c>
      <c r="K87" s="195">
        <v>1248</v>
      </c>
      <c r="L87" s="195">
        <v>2935</v>
      </c>
      <c r="M87" s="195">
        <v>4473</v>
      </c>
      <c r="N87" s="195">
        <v>6684</v>
      </c>
      <c r="O87" s="195">
        <v>11325</v>
      </c>
      <c r="P87" s="196">
        <f t="shared" si="39"/>
        <v>0.69434470377019752</v>
      </c>
      <c r="Q87" s="212">
        <f t="shared" ref="Q87:Q150" si="42">IFERROR(O87/K87-1,"-")</f>
        <v>8.0745192307692299</v>
      </c>
      <c r="R87" s="196">
        <f t="shared" si="40"/>
        <v>3.2165710926116853E-3</v>
      </c>
      <c r="S87" s="195">
        <v>1534</v>
      </c>
      <c r="T87" s="195">
        <v>3856</v>
      </c>
      <c r="U87" s="195">
        <v>5606</v>
      </c>
      <c r="V87" s="195">
        <v>7837</v>
      </c>
      <c r="W87" s="195">
        <v>12806</v>
      </c>
      <c r="X87" s="196">
        <f t="shared" si="41"/>
        <v>0.63404363914763295</v>
      </c>
      <c r="Y87" s="212">
        <f t="shared" ref="Y87:Y150" si="43">IFERROR(W87/S87-1,"-")</f>
        <v>7.3481095176010438</v>
      </c>
      <c r="Z87" s="196">
        <f t="shared" si="36"/>
        <v>1.4842966655219808E-3</v>
      </c>
    </row>
    <row r="88" spans="1:26" x14ac:dyDescent="0.25">
      <c r="A88" s="193" t="s">
        <v>121</v>
      </c>
      <c r="B88" s="194" t="s">
        <v>121</v>
      </c>
      <c r="C88" s="195">
        <v>240</v>
      </c>
      <c r="D88" s="195">
        <v>804</v>
      </c>
      <c r="E88" s="195">
        <v>921</v>
      </c>
      <c r="F88" s="195">
        <v>774</v>
      </c>
      <c r="G88" s="195">
        <v>909</v>
      </c>
      <c r="H88" s="196">
        <f t="shared" si="37"/>
        <v>0.17441860465116288</v>
      </c>
      <c r="I88" s="212">
        <f t="shared" si="35"/>
        <v>2.7875000000000001</v>
      </c>
      <c r="J88" s="196">
        <f t="shared" si="38"/>
        <v>1.1979283351563632E-3</v>
      </c>
      <c r="K88" s="195">
        <v>1576</v>
      </c>
      <c r="L88" s="195">
        <v>3904</v>
      </c>
      <c r="M88" s="195">
        <v>4162</v>
      </c>
      <c r="N88" s="195">
        <v>5494</v>
      </c>
      <c r="O88" s="195">
        <v>7100</v>
      </c>
      <c r="P88" s="196">
        <f t="shared" si="39"/>
        <v>0.29231889333818706</v>
      </c>
      <c r="Q88" s="212">
        <f t="shared" si="42"/>
        <v>3.5050761421319798</v>
      </c>
      <c r="R88" s="196">
        <f t="shared" si="40"/>
        <v>2.0165699565159352E-3</v>
      </c>
      <c r="S88" s="195">
        <v>1816</v>
      </c>
      <c r="T88" s="195">
        <v>4708</v>
      </c>
      <c r="U88" s="195">
        <v>5083</v>
      </c>
      <c r="V88" s="195">
        <v>6268</v>
      </c>
      <c r="W88" s="195">
        <v>8009</v>
      </c>
      <c r="X88" s="196">
        <f t="shared" si="41"/>
        <v>0.27776005105296742</v>
      </c>
      <c r="Y88" s="212">
        <f t="shared" si="43"/>
        <v>3.410242290748899</v>
      </c>
      <c r="Z88" s="196">
        <f t="shared" si="36"/>
        <v>1.345822324446705E-3</v>
      </c>
    </row>
    <row r="89" spans="1:26" x14ac:dyDescent="0.25">
      <c r="A89" s="193" t="s">
        <v>130</v>
      </c>
      <c r="B89" s="194" t="s">
        <v>130</v>
      </c>
      <c r="C89" s="195">
        <v>286</v>
      </c>
      <c r="D89" s="195">
        <v>296</v>
      </c>
      <c r="E89" s="195">
        <v>433</v>
      </c>
      <c r="F89" s="195">
        <v>454</v>
      </c>
      <c r="G89" s="195">
        <v>500</v>
      </c>
      <c r="H89" s="196">
        <f t="shared" si="37"/>
        <v>0.1013215859030836</v>
      </c>
      <c r="I89" s="212">
        <f t="shared" si="35"/>
        <v>0.74825174825174834</v>
      </c>
      <c r="J89" s="196">
        <f t="shared" si="38"/>
        <v>6.589264769836982E-4</v>
      </c>
      <c r="K89" s="195">
        <v>1422</v>
      </c>
      <c r="L89" s="195">
        <v>781</v>
      </c>
      <c r="M89" s="195">
        <v>2952</v>
      </c>
      <c r="N89" s="195">
        <v>3351</v>
      </c>
      <c r="O89" s="195">
        <v>3056</v>
      </c>
      <c r="P89" s="196">
        <f t="shared" si="39"/>
        <v>-8.8033422858848076E-2</v>
      </c>
      <c r="Q89" s="212">
        <f t="shared" si="42"/>
        <v>1.1490857946554147</v>
      </c>
      <c r="R89" s="196">
        <f t="shared" si="40"/>
        <v>8.6797715311446449E-4</v>
      </c>
      <c r="S89" s="195">
        <v>1708</v>
      </c>
      <c r="T89" s="195">
        <v>1077</v>
      </c>
      <c r="U89" s="195">
        <v>3385</v>
      </c>
      <c r="V89" s="195">
        <v>3805</v>
      </c>
      <c r="W89" s="195">
        <v>3556</v>
      </c>
      <c r="X89" s="196">
        <f t="shared" si="41"/>
        <v>-6.5440210249671504E-2</v>
      </c>
      <c r="Y89" s="212">
        <f t="shared" si="43"/>
        <v>1.081967213114754</v>
      </c>
      <c r="Z89" s="196">
        <f t="shared" si="36"/>
        <v>8.9624406221760697E-4</v>
      </c>
    </row>
    <row r="90" spans="1:26" x14ac:dyDescent="0.25">
      <c r="A90" s="193" t="s">
        <v>133</v>
      </c>
      <c r="B90" s="194" t="s">
        <v>133</v>
      </c>
      <c r="C90" s="195">
        <v>408</v>
      </c>
      <c r="D90" s="195">
        <v>385</v>
      </c>
      <c r="E90" s="195">
        <v>658</v>
      </c>
      <c r="F90" s="195">
        <v>679</v>
      </c>
      <c r="G90" s="195">
        <v>636</v>
      </c>
      <c r="H90" s="196">
        <f t="shared" si="37"/>
        <v>-6.3328424153166418E-2</v>
      </c>
      <c r="I90" s="212">
        <f t="shared" si="35"/>
        <v>0.55882352941176472</v>
      </c>
      <c r="J90" s="196">
        <f t="shared" si="38"/>
        <v>8.3815447872326407E-4</v>
      </c>
      <c r="K90" s="195">
        <v>1922</v>
      </c>
      <c r="L90" s="195">
        <v>947</v>
      </c>
      <c r="M90" s="195">
        <v>3040</v>
      </c>
      <c r="N90" s="195">
        <v>3728</v>
      </c>
      <c r="O90" s="195">
        <v>4053</v>
      </c>
      <c r="P90" s="196">
        <f t="shared" si="39"/>
        <v>8.7178111587982832E-2</v>
      </c>
      <c r="Q90" s="212">
        <f t="shared" si="42"/>
        <v>1.1087408949011448</v>
      </c>
      <c r="R90" s="196">
        <f t="shared" si="40"/>
        <v>1.1511490188393077E-3</v>
      </c>
      <c r="S90" s="195">
        <v>2330</v>
      </c>
      <c r="T90" s="195">
        <v>1332</v>
      </c>
      <c r="U90" s="195">
        <v>3698</v>
      </c>
      <c r="V90" s="195">
        <v>4407</v>
      </c>
      <c r="W90" s="195">
        <v>4689</v>
      </c>
      <c r="X90" s="196">
        <f t="shared" si="41"/>
        <v>6.3989108236895742E-2</v>
      </c>
      <c r="Y90" s="212">
        <f t="shared" si="43"/>
        <v>1.0124463519313305</v>
      </c>
      <c r="Z90" s="196">
        <f t="shared" si="36"/>
        <v>9.7911685142709325E-4</v>
      </c>
    </row>
    <row r="91" spans="1:26" x14ac:dyDescent="0.25">
      <c r="A91" s="198" t="s">
        <v>147</v>
      </c>
      <c r="B91" s="199" t="s">
        <v>147</v>
      </c>
      <c r="C91" s="200">
        <f>C83-SUM(C84:C90)</f>
        <v>7838</v>
      </c>
      <c r="D91" s="200">
        <f>D83-SUM(D84:D90)</f>
        <v>13273</v>
      </c>
      <c r="E91" s="200">
        <f>E83-SUM(E84:E90)</f>
        <v>21554</v>
      </c>
      <c r="F91" s="200">
        <f>F83-SUM(F84:F90)</f>
        <v>23699</v>
      </c>
      <c r="G91" s="200">
        <f>G83-SUM(G84:G90)</f>
        <v>28432</v>
      </c>
      <c r="H91" s="201">
        <f t="shared" si="37"/>
        <v>0.19971306806194344</v>
      </c>
      <c r="I91" s="213">
        <f t="shared" si="35"/>
        <v>2.6274559836693032</v>
      </c>
      <c r="J91" s="201">
        <f t="shared" si="38"/>
        <v>3.7469195187201015E-2</v>
      </c>
      <c r="K91" s="200">
        <f>K83-SUM(K84:K90)</f>
        <v>21224</v>
      </c>
      <c r="L91" s="200">
        <f>L83-SUM(L84:L90)</f>
        <v>37928</v>
      </c>
      <c r="M91" s="200">
        <f>M83-SUM(M84:M90)</f>
        <v>70455</v>
      </c>
      <c r="N91" s="200">
        <f>N83-SUM(N84:N90)</f>
        <v>95754</v>
      </c>
      <c r="O91" s="200">
        <f>O83-SUM(O84:O90)</f>
        <v>112449</v>
      </c>
      <c r="P91" s="201">
        <f t="shared" si="39"/>
        <v>0.17435302963844856</v>
      </c>
      <c r="Q91" s="213">
        <f t="shared" si="42"/>
        <v>4.2982001507727103</v>
      </c>
      <c r="R91" s="201">
        <f t="shared" si="40"/>
        <v>3.1938207752149353E-2</v>
      </c>
      <c r="S91" s="200">
        <f>S83-SUM(S84:S90)</f>
        <v>29062</v>
      </c>
      <c r="T91" s="200">
        <f>T83-SUM(T84:T90)</f>
        <v>51201</v>
      </c>
      <c r="U91" s="200">
        <f>U83-SUM(U84:U90)</f>
        <v>92009</v>
      </c>
      <c r="V91" s="200">
        <f>V83-SUM(V84:V90)</f>
        <v>119453</v>
      </c>
      <c r="W91" s="200">
        <f>W83-SUM(W84:W90)</f>
        <v>140881</v>
      </c>
      <c r="X91" s="201">
        <f t="shared" si="41"/>
        <v>0.17938436037604744</v>
      </c>
      <c r="Y91" s="213">
        <f t="shared" si="43"/>
        <v>3.8476016791686742</v>
      </c>
      <c r="Z91" s="201">
        <f t="shared" si="36"/>
        <v>2.4361158026759172E-2</v>
      </c>
    </row>
    <row r="92" spans="1:26" x14ac:dyDescent="0.25">
      <c r="A92" s="1"/>
      <c r="B92" s="186" t="s">
        <v>51</v>
      </c>
      <c r="C92" s="184"/>
      <c r="D92" s="184"/>
      <c r="E92" s="184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</row>
    <row r="93" spans="1:26" x14ac:dyDescent="0.25">
      <c r="A93" s="1" t="s">
        <v>0</v>
      </c>
      <c r="B93" s="187" t="s">
        <v>70</v>
      </c>
      <c r="C93" s="209">
        <f>C94+C97</f>
        <v>0</v>
      </c>
      <c r="D93" s="209">
        <f>D94+D97</f>
        <v>0</v>
      </c>
      <c r="E93" s="209">
        <f>E94+E97</f>
        <v>5131</v>
      </c>
      <c r="F93" s="209">
        <f>F94+F97</f>
        <v>7607</v>
      </c>
      <c r="G93" s="209">
        <f>G94+G97</f>
        <v>7923</v>
      </c>
      <c r="H93" s="210">
        <f>IFERROR(G93/F93-1,"-")</f>
        <v>4.1540686210069566E-2</v>
      </c>
      <c r="I93" s="210" t="str">
        <f t="shared" si="35"/>
        <v>-</v>
      </c>
      <c r="J93" s="210">
        <f>G93/G$9</f>
        <v>1.0441348954283681E-2</v>
      </c>
      <c r="K93" s="209">
        <f>K94+K97</f>
        <v>0</v>
      </c>
      <c r="L93" s="209">
        <f>L94+L97</f>
        <v>0</v>
      </c>
      <c r="M93" s="209">
        <f>M94+M97</f>
        <v>46354</v>
      </c>
      <c r="N93" s="209">
        <f>N94+N97</f>
        <v>50550</v>
      </c>
      <c r="O93" s="209">
        <f>O94+O97</f>
        <v>49465</v>
      </c>
      <c r="P93" s="210">
        <f>IFERROR(O93/N93-1,"-")</f>
        <v>-2.1463897131552945E-2</v>
      </c>
      <c r="Q93" s="210" t="str">
        <f t="shared" si="42"/>
        <v>-</v>
      </c>
      <c r="R93" s="210">
        <f>O93/O$9</f>
        <v>1.4049244070290245E-2</v>
      </c>
      <c r="S93" s="209">
        <f>S94+S97</f>
        <v>24221</v>
      </c>
      <c r="T93" s="209">
        <f>T94+T97</f>
        <v>33444</v>
      </c>
      <c r="U93" s="209">
        <f>U94+U97</f>
        <v>51485</v>
      </c>
      <c r="V93" s="209">
        <f>V94+V97</f>
        <v>58157</v>
      </c>
      <c r="W93" s="209">
        <f>W94+W97</f>
        <v>57388</v>
      </c>
      <c r="X93" s="210">
        <f>IFERROR(W93/V93-1,"-")</f>
        <v>-1.3222827862510056E-2</v>
      </c>
      <c r="Y93" s="210">
        <f t="shared" si="43"/>
        <v>1.3693489121010693</v>
      </c>
      <c r="Z93" s="210">
        <f t="shared" ref="Z93:Z105" si="44">U93/U$9</f>
        <v>1.3631647132429394E-2</v>
      </c>
    </row>
    <row r="94" spans="1:26" x14ac:dyDescent="0.25">
      <c r="A94" s="1" t="s">
        <v>98</v>
      </c>
      <c r="B94" s="190" t="s">
        <v>99</v>
      </c>
      <c r="C94" s="191">
        <v>0</v>
      </c>
      <c r="D94" s="191">
        <v>0</v>
      </c>
      <c r="E94" s="191">
        <v>3937</v>
      </c>
      <c r="F94" s="191">
        <v>5346</v>
      </c>
      <c r="G94" s="191">
        <v>5742</v>
      </c>
      <c r="H94" s="192">
        <f>IFERROR(G94/F94-1,"-")</f>
        <v>7.4074074074074181E-2</v>
      </c>
      <c r="I94" s="211" t="str">
        <f t="shared" si="35"/>
        <v>-</v>
      </c>
      <c r="J94" s="192">
        <f>G94/G$9</f>
        <v>7.5671116616807896E-3</v>
      </c>
      <c r="K94" s="191">
        <v>0</v>
      </c>
      <c r="L94" s="191">
        <v>0</v>
      </c>
      <c r="M94" s="191">
        <v>29872</v>
      </c>
      <c r="N94" s="191">
        <v>32376</v>
      </c>
      <c r="O94" s="191">
        <v>30079</v>
      </c>
      <c r="P94" s="192">
        <f>IFERROR(O94/N94-1,"-")</f>
        <v>-7.0947615517667373E-2</v>
      </c>
      <c r="Q94" s="211" t="str">
        <f t="shared" si="42"/>
        <v>-</v>
      </c>
      <c r="R94" s="192">
        <f>O94/O$9</f>
        <v>8.5431560171891283E-3</v>
      </c>
      <c r="S94" s="191">
        <v>16023</v>
      </c>
      <c r="T94" s="191">
        <v>21732</v>
      </c>
      <c r="U94" s="191">
        <v>33809</v>
      </c>
      <c r="V94" s="191">
        <v>37722</v>
      </c>
      <c r="W94" s="191">
        <v>35821</v>
      </c>
      <c r="X94" s="192">
        <f>IFERROR(W94/V94-1,"-")</f>
        <v>-5.0394994963151474E-2</v>
      </c>
      <c r="Y94" s="211">
        <f t="shared" si="43"/>
        <v>1.2355988266866378</v>
      </c>
      <c r="Z94" s="192">
        <f t="shared" si="44"/>
        <v>8.9515850810975104E-3</v>
      </c>
    </row>
    <row r="95" spans="1:26" x14ac:dyDescent="0.25">
      <c r="A95" s="193" t="s">
        <v>105</v>
      </c>
      <c r="B95" s="194" t="s">
        <v>105</v>
      </c>
      <c r="C95" s="195">
        <v>0</v>
      </c>
      <c r="D95" s="195">
        <v>0</v>
      </c>
      <c r="E95" s="195">
        <v>2928</v>
      </c>
      <c r="F95" s="195">
        <v>3814</v>
      </c>
      <c r="G95" s="195">
        <v>4202</v>
      </c>
      <c r="H95" s="196">
        <f>IFERROR(G95/F95-1,"-")</f>
        <v>0.10173046670162567</v>
      </c>
      <c r="I95" s="212" t="str">
        <f t="shared" si="35"/>
        <v>-</v>
      </c>
      <c r="J95" s="196">
        <f>G95/G$9</f>
        <v>5.5376181125709996E-3</v>
      </c>
      <c r="K95" s="195">
        <v>0</v>
      </c>
      <c r="L95" s="195">
        <v>0</v>
      </c>
      <c r="M95" s="195">
        <v>13361</v>
      </c>
      <c r="N95" s="195">
        <v>8210</v>
      </c>
      <c r="O95" s="195">
        <v>7675</v>
      </c>
      <c r="P95" s="196">
        <f>IFERROR(O95/N95-1,"-")</f>
        <v>-6.5164433617539541E-2</v>
      </c>
      <c r="Q95" s="212" t="str">
        <f t="shared" si="42"/>
        <v>-</v>
      </c>
      <c r="R95" s="196">
        <f>O95/O$9</f>
        <v>2.1798837205999721E-3</v>
      </c>
      <c r="S95" s="195">
        <v>8684</v>
      </c>
      <c r="T95" s="195">
        <v>11001</v>
      </c>
      <c r="U95" s="195">
        <v>16289</v>
      </c>
      <c r="V95" s="195">
        <v>12024</v>
      </c>
      <c r="W95" s="195">
        <v>11877</v>
      </c>
      <c r="X95" s="196">
        <f>IFERROR(W95/V95-1,"-")</f>
        <v>-1.2225548902195627E-2</v>
      </c>
      <c r="Y95" s="212">
        <f t="shared" si="43"/>
        <v>0.36768770152003682</v>
      </c>
      <c r="Z95" s="196">
        <f t="shared" si="44"/>
        <v>4.3128270397230729E-3</v>
      </c>
    </row>
    <row r="96" spans="1:26" x14ac:dyDescent="0.25">
      <c r="A96" s="193" t="s">
        <v>102</v>
      </c>
      <c r="B96" s="194" t="s">
        <v>102</v>
      </c>
      <c r="C96" s="195">
        <v>0</v>
      </c>
      <c r="D96" s="195">
        <v>0</v>
      </c>
      <c r="E96" s="195">
        <v>1009</v>
      </c>
      <c r="F96" s="195">
        <v>1532</v>
      </c>
      <c r="G96" s="195">
        <v>1540</v>
      </c>
      <c r="H96" s="196">
        <f>IFERROR(G96/F96-1,"-")</f>
        <v>5.2219321148825326E-3</v>
      </c>
      <c r="I96" s="212" t="str">
        <f t="shared" si="35"/>
        <v>-</v>
      </c>
      <c r="J96" s="196">
        <f>G96/G$9</f>
        <v>2.0294935491097905E-3</v>
      </c>
      <c r="K96" s="195">
        <v>0</v>
      </c>
      <c r="L96" s="195">
        <v>0</v>
      </c>
      <c r="M96" s="195">
        <v>16511</v>
      </c>
      <c r="N96" s="195">
        <v>24166</v>
      </c>
      <c r="O96" s="195">
        <v>22404</v>
      </c>
      <c r="P96" s="196">
        <f>IFERROR(O96/N96-1,"-")</f>
        <v>-7.2912356202929685E-2</v>
      </c>
      <c r="Q96" s="212" t="str">
        <f t="shared" si="42"/>
        <v>-</v>
      </c>
      <c r="R96" s="196">
        <f>O96/O$9</f>
        <v>6.3632722965891566E-3</v>
      </c>
      <c r="S96" s="195">
        <v>7339</v>
      </c>
      <c r="T96" s="195">
        <v>10731</v>
      </c>
      <c r="U96" s="195">
        <v>17520</v>
      </c>
      <c r="V96" s="195">
        <v>25698</v>
      </c>
      <c r="W96" s="195">
        <v>23944</v>
      </c>
      <c r="X96" s="196">
        <f>IFERROR(W96/V96-1,"-")</f>
        <v>-6.8254338859055186E-2</v>
      </c>
      <c r="Y96" s="212">
        <f t="shared" si="43"/>
        <v>2.2625698324022347</v>
      </c>
      <c r="Z96" s="196">
        <f t="shared" si="44"/>
        <v>4.6387580413744384E-3</v>
      </c>
    </row>
    <row r="97" spans="1:26" x14ac:dyDescent="0.25">
      <c r="A97" s="1" t="s">
        <v>148</v>
      </c>
      <c r="B97" s="190" t="s">
        <v>109</v>
      </c>
      <c r="C97" s="191">
        <v>0</v>
      </c>
      <c r="D97" s="191">
        <v>0</v>
      </c>
      <c r="E97" s="191">
        <v>1194</v>
      </c>
      <c r="F97" s="191">
        <v>2261</v>
      </c>
      <c r="G97" s="191">
        <v>2181</v>
      </c>
      <c r="H97" s="192">
        <f>IFERROR(G97/F97-1,"-")</f>
        <v>-3.5382574082264528E-2</v>
      </c>
      <c r="I97" s="211" t="str">
        <f t="shared" si="35"/>
        <v>-</v>
      </c>
      <c r="J97" s="192">
        <f>G97/G$9</f>
        <v>2.8742372926028915E-3</v>
      </c>
      <c r="K97" s="191">
        <v>0</v>
      </c>
      <c r="L97" s="191">
        <v>0</v>
      </c>
      <c r="M97" s="191">
        <v>16482</v>
      </c>
      <c r="N97" s="191">
        <v>18174</v>
      </c>
      <c r="O97" s="191">
        <v>19386</v>
      </c>
      <c r="P97" s="192">
        <f>IFERROR(O97/N97-1,"-")</f>
        <v>6.6688676130736146E-2</v>
      </c>
      <c r="Q97" s="211" t="str">
        <f t="shared" si="42"/>
        <v>-</v>
      </c>
      <c r="R97" s="192">
        <f>O97/O$9</f>
        <v>5.5060880531011156E-3</v>
      </c>
      <c r="S97" s="191">
        <v>8198</v>
      </c>
      <c r="T97" s="191">
        <v>11712</v>
      </c>
      <c r="U97" s="191">
        <v>17676</v>
      </c>
      <c r="V97" s="191">
        <v>20435</v>
      </c>
      <c r="W97" s="191">
        <v>21567</v>
      </c>
      <c r="X97" s="192">
        <f>IFERROR(W97/V97-1,"-")</f>
        <v>5.539515537068751E-2</v>
      </c>
      <c r="Y97" s="211">
        <f t="shared" si="43"/>
        <v>1.6307636008782631</v>
      </c>
      <c r="Z97" s="192">
        <f t="shared" si="44"/>
        <v>4.6800620513318819E-3</v>
      </c>
    </row>
    <row r="98" spans="1:26" x14ac:dyDescent="0.25">
      <c r="A98" s="193" t="s">
        <v>112</v>
      </c>
      <c r="B98" s="194" t="s">
        <v>112</v>
      </c>
      <c r="C98" s="195">
        <v>0</v>
      </c>
      <c r="D98" s="195">
        <v>0</v>
      </c>
      <c r="E98" s="195">
        <v>50</v>
      </c>
      <c r="F98" s="195">
        <v>173</v>
      </c>
      <c r="G98" s="195">
        <v>203</v>
      </c>
      <c r="H98" s="196">
        <f t="shared" ref="H98:H105" si="45">IFERROR(G98/F98-1,"-")</f>
        <v>0.17341040462427748</v>
      </c>
      <c r="I98" s="212" t="str">
        <f t="shared" si="35"/>
        <v>-</v>
      </c>
      <c r="J98" s="196">
        <f t="shared" ref="J98:J105" si="46">G98/G$9</f>
        <v>2.6752414965538145E-4</v>
      </c>
      <c r="K98" s="195">
        <v>0</v>
      </c>
      <c r="L98" s="195">
        <v>0</v>
      </c>
      <c r="M98" s="195">
        <v>2353</v>
      </c>
      <c r="N98" s="195">
        <v>2622</v>
      </c>
      <c r="O98" s="195">
        <v>2827</v>
      </c>
      <c r="P98" s="196">
        <f t="shared" ref="P98:P105" si="47">IFERROR(O98/N98-1,"-")</f>
        <v>7.8184591914568946E-2</v>
      </c>
      <c r="Q98" s="212" t="str">
        <f t="shared" si="42"/>
        <v>-</v>
      </c>
      <c r="R98" s="196">
        <f t="shared" ref="R98:R105" si="48">O98/O$9</f>
        <v>8.029356714183871E-4</v>
      </c>
      <c r="S98" s="195">
        <v>1288</v>
      </c>
      <c r="T98" s="195">
        <v>921</v>
      </c>
      <c r="U98" s="195">
        <v>2403</v>
      </c>
      <c r="V98" s="195">
        <v>2795</v>
      </c>
      <c r="W98" s="195">
        <v>3030</v>
      </c>
      <c r="X98" s="196">
        <f t="shared" ref="X98:X105" si="49">IFERROR(W98/V98-1,"-")</f>
        <v>8.4078711985688726E-2</v>
      </c>
      <c r="Y98" s="212">
        <f t="shared" si="43"/>
        <v>1.3524844720496896</v>
      </c>
      <c r="Z98" s="196">
        <f t="shared" si="44"/>
        <v>6.3624061492139131E-4</v>
      </c>
    </row>
    <row r="99" spans="1:26" x14ac:dyDescent="0.25">
      <c r="A99" s="193" t="s">
        <v>115</v>
      </c>
      <c r="B99" s="194" t="s">
        <v>115</v>
      </c>
      <c r="C99" s="195">
        <v>0</v>
      </c>
      <c r="D99" s="195">
        <v>0</v>
      </c>
      <c r="E99" s="195">
        <v>194</v>
      </c>
      <c r="F99" s="195">
        <v>319</v>
      </c>
      <c r="G99" s="195">
        <v>341</v>
      </c>
      <c r="H99" s="196">
        <f t="shared" si="45"/>
        <v>6.8965517241379226E-2</v>
      </c>
      <c r="I99" s="212" t="str">
        <f t="shared" si="35"/>
        <v>-</v>
      </c>
      <c r="J99" s="196">
        <f t="shared" si="46"/>
        <v>4.4938785730288215E-4</v>
      </c>
      <c r="K99" s="195">
        <v>0</v>
      </c>
      <c r="L99" s="195">
        <v>0</v>
      </c>
      <c r="M99" s="195">
        <v>3288</v>
      </c>
      <c r="N99" s="195">
        <v>3495</v>
      </c>
      <c r="O99" s="195">
        <v>3893</v>
      </c>
      <c r="P99" s="196">
        <f t="shared" si="47"/>
        <v>0.11387696709585127</v>
      </c>
      <c r="Q99" s="212" t="str">
        <f t="shared" si="42"/>
        <v>-</v>
      </c>
      <c r="R99" s="196">
        <f t="shared" si="48"/>
        <v>1.1057051888333149E-3</v>
      </c>
      <c r="S99" s="195">
        <v>1481</v>
      </c>
      <c r="T99" s="195">
        <v>2395</v>
      </c>
      <c r="U99" s="195">
        <v>3482</v>
      </c>
      <c r="V99" s="195">
        <v>3814</v>
      </c>
      <c r="W99" s="195">
        <v>4234</v>
      </c>
      <c r="X99" s="196">
        <f t="shared" si="49"/>
        <v>0.11012060828526482</v>
      </c>
      <c r="Y99" s="212">
        <f t="shared" si="43"/>
        <v>1.8588791357191088</v>
      </c>
      <c r="Z99" s="196">
        <f t="shared" si="44"/>
        <v>9.219266837937098E-4</v>
      </c>
    </row>
    <row r="100" spans="1:26" x14ac:dyDescent="0.25">
      <c r="A100" s="193" t="s">
        <v>118</v>
      </c>
      <c r="B100" s="194" t="s">
        <v>118</v>
      </c>
      <c r="C100" s="195">
        <v>0</v>
      </c>
      <c r="D100" s="195">
        <v>0</v>
      </c>
      <c r="E100" s="195">
        <v>346</v>
      </c>
      <c r="F100" s="195">
        <v>771</v>
      </c>
      <c r="G100" s="195">
        <v>574</v>
      </c>
      <c r="H100" s="196">
        <f t="shared" si="45"/>
        <v>-0.25551232166018156</v>
      </c>
      <c r="I100" s="212" t="str">
        <f t="shared" si="35"/>
        <v>-</v>
      </c>
      <c r="J100" s="196">
        <f t="shared" si="46"/>
        <v>7.5644759557728545E-4</v>
      </c>
      <c r="K100" s="195">
        <v>0</v>
      </c>
      <c r="L100" s="195">
        <v>0</v>
      </c>
      <c r="M100" s="195">
        <v>3066</v>
      </c>
      <c r="N100" s="195">
        <v>3114</v>
      </c>
      <c r="O100" s="195">
        <v>3111</v>
      </c>
      <c r="P100" s="196">
        <f t="shared" si="47"/>
        <v>-9.633911368015502E-4</v>
      </c>
      <c r="Q100" s="212" t="str">
        <f t="shared" si="42"/>
        <v>-</v>
      </c>
      <c r="R100" s="196">
        <f t="shared" si="48"/>
        <v>8.835984696790246E-4</v>
      </c>
      <c r="S100" s="195">
        <v>1974</v>
      </c>
      <c r="T100" s="195">
        <v>3541</v>
      </c>
      <c r="U100" s="195">
        <v>3412</v>
      </c>
      <c r="V100" s="195">
        <v>3885</v>
      </c>
      <c r="W100" s="195">
        <v>3685</v>
      </c>
      <c r="X100" s="196">
        <f t="shared" si="49"/>
        <v>-5.1480051480051525E-2</v>
      </c>
      <c r="Y100" s="212">
        <f t="shared" si="43"/>
        <v>0.86676798378926034</v>
      </c>
      <c r="Z100" s="196">
        <f t="shared" si="44"/>
        <v>9.0339283317177998E-4</v>
      </c>
    </row>
    <row r="101" spans="1:26" x14ac:dyDescent="0.25">
      <c r="A101" s="193" t="s">
        <v>125</v>
      </c>
      <c r="B101" s="194" t="s">
        <v>125</v>
      </c>
      <c r="C101" s="195">
        <v>0</v>
      </c>
      <c r="D101" s="195">
        <v>0</v>
      </c>
      <c r="E101" s="195">
        <v>32</v>
      </c>
      <c r="F101" s="195">
        <v>58</v>
      </c>
      <c r="G101" s="195">
        <v>90</v>
      </c>
      <c r="H101" s="196">
        <f t="shared" si="45"/>
        <v>0.55172413793103448</v>
      </c>
      <c r="I101" s="212" t="str">
        <f t="shared" si="35"/>
        <v>-</v>
      </c>
      <c r="J101" s="196">
        <f t="shared" si="46"/>
        <v>1.1860676585706567E-4</v>
      </c>
      <c r="K101" s="195">
        <v>0</v>
      </c>
      <c r="L101" s="195">
        <v>0</v>
      </c>
      <c r="M101" s="195">
        <v>1140</v>
      </c>
      <c r="N101" s="195">
        <v>880</v>
      </c>
      <c r="O101" s="195">
        <v>843</v>
      </c>
      <c r="P101" s="196">
        <f t="shared" si="47"/>
        <v>-4.2045454545454497E-2</v>
      </c>
      <c r="Q101" s="212" t="str">
        <f t="shared" si="42"/>
        <v>-</v>
      </c>
      <c r="R101" s="196">
        <f t="shared" si="48"/>
        <v>2.3943217934407511E-4</v>
      </c>
      <c r="S101" s="195">
        <v>323</v>
      </c>
      <c r="T101" s="195">
        <v>432</v>
      </c>
      <c r="U101" s="195">
        <v>1172</v>
      </c>
      <c r="V101" s="195">
        <v>938</v>
      </c>
      <c r="W101" s="195">
        <v>933</v>
      </c>
      <c r="X101" s="196">
        <f t="shared" si="49"/>
        <v>-5.3304904051172386E-3</v>
      </c>
      <c r="Y101" s="212">
        <f t="shared" si="43"/>
        <v>1.8885448916408669</v>
      </c>
      <c r="Z101" s="196">
        <f t="shared" si="44"/>
        <v>3.1030961327002524E-4</v>
      </c>
    </row>
    <row r="102" spans="1:26" x14ac:dyDescent="0.25">
      <c r="A102" s="193" t="s">
        <v>121</v>
      </c>
      <c r="B102" s="194" t="s">
        <v>121</v>
      </c>
      <c r="C102" s="195">
        <v>0</v>
      </c>
      <c r="D102" s="195">
        <v>0</v>
      </c>
      <c r="E102" s="195">
        <v>15</v>
      </c>
      <c r="F102" s="195">
        <v>87</v>
      </c>
      <c r="G102" s="195">
        <v>64</v>
      </c>
      <c r="H102" s="196">
        <f t="shared" si="45"/>
        <v>-0.26436781609195403</v>
      </c>
      <c r="I102" s="212" t="str">
        <f t="shared" si="35"/>
        <v>-</v>
      </c>
      <c r="J102" s="196">
        <f t="shared" si="46"/>
        <v>8.4342589053913367E-5</v>
      </c>
      <c r="K102" s="195">
        <v>0</v>
      </c>
      <c r="L102" s="195">
        <v>0</v>
      </c>
      <c r="M102" s="195">
        <v>667</v>
      </c>
      <c r="N102" s="195">
        <v>563</v>
      </c>
      <c r="O102" s="195">
        <v>839</v>
      </c>
      <c r="P102" s="196">
        <f t="shared" si="47"/>
        <v>0.49023090586145646</v>
      </c>
      <c r="Q102" s="212" t="str">
        <f t="shared" si="42"/>
        <v>-</v>
      </c>
      <c r="R102" s="196">
        <f t="shared" si="48"/>
        <v>2.382960835939253E-4</v>
      </c>
      <c r="S102" s="195">
        <v>351</v>
      </c>
      <c r="T102" s="195">
        <v>507</v>
      </c>
      <c r="U102" s="195">
        <v>682</v>
      </c>
      <c r="V102" s="195">
        <v>650</v>
      </c>
      <c r="W102" s="195">
        <v>903</v>
      </c>
      <c r="X102" s="196">
        <f t="shared" si="49"/>
        <v>0.38923076923076927</v>
      </c>
      <c r="Y102" s="212">
        <f t="shared" si="43"/>
        <v>1.5726495726495728</v>
      </c>
      <c r="Z102" s="196">
        <f t="shared" si="44"/>
        <v>1.8057265891651639E-4</v>
      </c>
    </row>
    <row r="103" spans="1:26" x14ac:dyDescent="0.25">
      <c r="A103" s="193" t="s">
        <v>130</v>
      </c>
      <c r="B103" s="194" t="s">
        <v>130</v>
      </c>
      <c r="C103" s="195">
        <v>0</v>
      </c>
      <c r="D103" s="195">
        <v>0</v>
      </c>
      <c r="E103" s="195">
        <v>10</v>
      </c>
      <c r="F103" s="195">
        <v>22</v>
      </c>
      <c r="G103" s="195">
        <v>28</v>
      </c>
      <c r="H103" s="196">
        <f t="shared" si="45"/>
        <v>0.27272727272727271</v>
      </c>
      <c r="I103" s="212" t="str">
        <f t="shared" si="35"/>
        <v>-</v>
      </c>
      <c r="J103" s="196">
        <f t="shared" si="46"/>
        <v>3.68998827110871E-5</v>
      </c>
      <c r="K103" s="195">
        <v>0</v>
      </c>
      <c r="L103" s="195">
        <v>0</v>
      </c>
      <c r="M103" s="195">
        <v>260</v>
      </c>
      <c r="N103" s="195">
        <v>131</v>
      </c>
      <c r="O103" s="195">
        <v>202</v>
      </c>
      <c r="P103" s="196">
        <f t="shared" si="47"/>
        <v>0.54198473282442738</v>
      </c>
      <c r="Q103" s="212" t="str">
        <f t="shared" si="42"/>
        <v>-</v>
      </c>
      <c r="R103" s="196">
        <f t="shared" si="48"/>
        <v>5.7372835382566045E-5</v>
      </c>
      <c r="S103" s="195">
        <v>124</v>
      </c>
      <c r="T103" s="195">
        <v>105</v>
      </c>
      <c r="U103" s="195">
        <v>270</v>
      </c>
      <c r="V103" s="195">
        <v>153</v>
      </c>
      <c r="W103" s="195">
        <v>230</v>
      </c>
      <c r="X103" s="196">
        <f t="shared" si="49"/>
        <v>0.50326797385620914</v>
      </c>
      <c r="Y103" s="212">
        <f t="shared" si="43"/>
        <v>0.85483870967741926</v>
      </c>
      <c r="Z103" s="196">
        <f t="shared" si="44"/>
        <v>7.1487709541729355E-5</v>
      </c>
    </row>
    <row r="104" spans="1:26" x14ac:dyDescent="0.25">
      <c r="A104" s="193" t="s">
        <v>133</v>
      </c>
      <c r="B104" s="194" t="s">
        <v>133</v>
      </c>
      <c r="C104" s="195">
        <v>0</v>
      </c>
      <c r="D104" s="195">
        <v>0</v>
      </c>
      <c r="E104" s="195">
        <v>11</v>
      </c>
      <c r="F104" s="195">
        <v>10</v>
      </c>
      <c r="G104" s="195">
        <v>25</v>
      </c>
      <c r="H104" s="196">
        <f t="shared" si="45"/>
        <v>1.5</v>
      </c>
      <c r="I104" s="212" t="str">
        <f t="shared" si="35"/>
        <v>-</v>
      </c>
      <c r="J104" s="196">
        <f t="shared" si="46"/>
        <v>3.2946323849184909E-5</v>
      </c>
      <c r="K104" s="195">
        <v>0</v>
      </c>
      <c r="L104" s="195">
        <v>0</v>
      </c>
      <c r="M104" s="195">
        <v>157</v>
      </c>
      <c r="N104" s="195">
        <v>260</v>
      </c>
      <c r="O104" s="195">
        <v>359</v>
      </c>
      <c r="P104" s="196">
        <f t="shared" si="47"/>
        <v>0.38076923076923075</v>
      </c>
      <c r="Q104" s="212" t="str">
        <f t="shared" si="42"/>
        <v>-</v>
      </c>
      <c r="R104" s="196">
        <f t="shared" si="48"/>
        <v>1.0196459357594658E-4</v>
      </c>
      <c r="S104" s="195">
        <v>89</v>
      </c>
      <c r="T104" s="195">
        <v>96</v>
      </c>
      <c r="U104" s="195">
        <v>168</v>
      </c>
      <c r="V104" s="195">
        <v>270</v>
      </c>
      <c r="W104" s="195">
        <v>384</v>
      </c>
      <c r="X104" s="196">
        <f t="shared" si="49"/>
        <v>0.42222222222222228</v>
      </c>
      <c r="Y104" s="212">
        <f t="shared" si="43"/>
        <v>3.3146067415730336</v>
      </c>
      <c r="Z104" s="196">
        <f t="shared" si="44"/>
        <v>4.44812414926316E-5</v>
      </c>
    </row>
    <row r="105" spans="1:26" x14ac:dyDescent="0.25">
      <c r="A105" s="198" t="s">
        <v>147</v>
      </c>
      <c r="B105" s="199" t="s">
        <v>147</v>
      </c>
      <c r="C105" s="200">
        <f>C97-SUM(C98:C104)</f>
        <v>0</v>
      </c>
      <c r="D105" s="200">
        <f>D97-SUM(D98:D104)</f>
        <v>0</v>
      </c>
      <c r="E105" s="200">
        <f>E97-SUM(E98:E104)</f>
        <v>536</v>
      </c>
      <c r="F105" s="200">
        <f>F97-SUM(F98:F104)</f>
        <v>821</v>
      </c>
      <c r="G105" s="200">
        <f>G97-SUM(G98:G104)</f>
        <v>856</v>
      </c>
      <c r="H105" s="201">
        <f t="shared" si="45"/>
        <v>4.2630937880633324E-2</v>
      </c>
      <c r="I105" s="213" t="str">
        <f t="shared" si="35"/>
        <v>-</v>
      </c>
      <c r="J105" s="201">
        <f t="shared" si="46"/>
        <v>1.1280821285960913E-3</v>
      </c>
      <c r="K105" s="200">
        <f>K97-SUM(K98:K104)</f>
        <v>0</v>
      </c>
      <c r="L105" s="200">
        <f>L97-SUM(L98:L104)</f>
        <v>0</v>
      </c>
      <c r="M105" s="200">
        <f>M97-SUM(M98:M104)</f>
        <v>5551</v>
      </c>
      <c r="N105" s="200">
        <f>N97-SUM(N98:N104)</f>
        <v>7109</v>
      </c>
      <c r="O105" s="200">
        <f>O97-SUM(O98:O104)</f>
        <v>7312</v>
      </c>
      <c r="P105" s="201">
        <f t="shared" si="47"/>
        <v>2.8555352370234877E-2</v>
      </c>
      <c r="Q105" s="213" t="str">
        <f t="shared" si="42"/>
        <v>-</v>
      </c>
      <c r="R105" s="201">
        <f t="shared" si="48"/>
        <v>2.0767830312738759E-3</v>
      </c>
      <c r="S105" s="200">
        <f>S97-SUM(S98:S104)</f>
        <v>2568</v>
      </c>
      <c r="T105" s="200">
        <f>T97-SUM(T98:T104)</f>
        <v>3715</v>
      </c>
      <c r="U105" s="200">
        <f>U97-SUM(U98:U104)</f>
        <v>6087</v>
      </c>
      <c r="V105" s="200">
        <f>V97-SUM(V98:V104)</f>
        <v>7930</v>
      </c>
      <c r="W105" s="200">
        <f>W97-SUM(W98:W104)</f>
        <v>8168</v>
      </c>
      <c r="X105" s="201">
        <f t="shared" si="49"/>
        <v>3.0012610340479196E-2</v>
      </c>
      <c r="Y105" s="213">
        <f t="shared" si="43"/>
        <v>2.1806853582554515</v>
      </c>
      <c r="Z105" s="201">
        <f t="shared" si="44"/>
        <v>1.6116506962240986E-3</v>
      </c>
    </row>
    <row r="106" spans="1:26" x14ac:dyDescent="0.25">
      <c r="A106" s="1"/>
      <c r="B106" s="186" t="s">
        <v>52</v>
      </c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</row>
    <row r="107" spans="1:26" x14ac:dyDescent="0.25">
      <c r="A107" s="1" t="s">
        <v>0</v>
      </c>
      <c r="B107" s="187" t="s">
        <v>70</v>
      </c>
      <c r="C107" s="209">
        <f>C108+C111</f>
        <v>0</v>
      </c>
      <c r="D107" s="209">
        <f>D108+D111</f>
        <v>0</v>
      </c>
      <c r="E107" s="209">
        <f>E108+E111</f>
        <v>0</v>
      </c>
      <c r="F107" s="209">
        <f>F108+F111</f>
        <v>0</v>
      </c>
      <c r="G107" s="209">
        <f>G108+G111</f>
        <v>0</v>
      </c>
      <c r="H107" s="210" t="str">
        <f>IFERROR(G107/F107-1,"-")</f>
        <v>-</v>
      </c>
      <c r="I107" s="210" t="str">
        <f t="shared" si="35"/>
        <v>-</v>
      </c>
      <c r="J107" s="210">
        <f>G107/G$9</f>
        <v>0</v>
      </c>
      <c r="K107" s="209">
        <f>K108+K111</f>
        <v>0</v>
      </c>
      <c r="L107" s="209">
        <f>L108+L111</f>
        <v>0</v>
      </c>
      <c r="M107" s="209">
        <f>M108+M111</f>
        <v>0</v>
      </c>
      <c r="N107" s="209">
        <f>N108+N111</f>
        <v>0</v>
      </c>
      <c r="O107" s="209">
        <f>O108+O111</f>
        <v>0</v>
      </c>
      <c r="P107" s="210" t="str">
        <f>IFERROR(O107/N107-1,"-")</f>
        <v>-</v>
      </c>
      <c r="Q107" s="210" t="str">
        <f t="shared" si="42"/>
        <v>-</v>
      </c>
      <c r="R107" s="210">
        <f>O107/O$9</f>
        <v>0</v>
      </c>
      <c r="S107" s="209">
        <f>S108+S111</f>
        <v>63499</v>
      </c>
      <c r="T107" s="209">
        <f>T108+T111</f>
        <v>95997</v>
      </c>
      <c r="U107" s="209">
        <f>U108+U111</f>
        <v>169794</v>
      </c>
      <c r="V107" s="209">
        <f>V108+V111</f>
        <v>220761</v>
      </c>
      <c r="W107" s="209">
        <f>W108+W111</f>
        <v>207278</v>
      </c>
      <c r="X107" s="210">
        <f>IFERROR(W107/V107-1,"-")</f>
        <v>-6.1075099315549441E-2</v>
      </c>
      <c r="Y107" s="210">
        <f t="shared" si="43"/>
        <v>2.2642718782972961</v>
      </c>
      <c r="Z107" s="210">
        <f t="shared" ref="Z107:Z119" si="50">U107/U$9</f>
        <v>4.4956237607142208E-2</v>
      </c>
    </row>
    <row r="108" spans="1:26" x14ac:dyDescent="0.25">
      <c r="A108" s="1" t="s">
        <v>98</v>
      </c>
      <c r="B108" s="190" t="s">
        <v>99</v>
      </c>
      <c r="C108" s="191">
        <v>0</v>
      </c>
      <c r="D108" s="191">
        <v>0</v>
      </c>
      <c r="E108" s="191">
        <v>0</v>
      </c>
      <c r="F108" s="191">
        <v>0</v>
      </c>
      <c r="G108" s="191">
        <v>0</v>
      </c>
      <c r="H108" s="192" t="str">
        <f>IFERROR(G108/F108-1,"-")</f>
        <v>-</v>
      </c>
      <c r="I108" s="211" t="str">
        <f t="shared" si="35"/>
        <v>-</v>
      </c>
      <c r="J108" s="192">
        <f>G108/G$9</f>
        <v>0</v>
      </c>
      <c r="K108" s="191">
        <v>0</v>
      </c>
      <c r="L108" s="191">
        <v>0</v>
      </c>
      <c r="M108" s="191">
        <v>0</v>
      </c>
      <c r="N108" s="191">
        <v>0</v>
      </c>
      <c r="O108" s="191">
        <v>0</v>
      </c>
      <c r="P108" s="192" t="str">
        <f>IFERROR(O108/N108-1,"-")</f>
        <v>-</v>
      </c>
      <c r="Q108" s="211" t="str">
        <f t="shared" si="42"/>
        <v>-</v>
      </c>
      <c r="R108" s="192">
        <f>O108/O$9</f>
        <v>0</v>
      </c>
      <c r="S108" s="191">
        <v>28387</v>
      </c>
      <c r="T108" s="191">
        <v>39659</v>
      </c>
      <c r="U108" s="191">
        <v>41132</v>
      </c>
      <c r="V108" s="191">
        <v>48543</v>
      </c>
      <c r="W108" s="191">
        <v>43479</v>
      </c>
      <c r="X108" s="192">
        <f>IFERROR(W108/V108-1,"-")</f>
        <v>-0.10431988134231507</v>
      </c>
      <c r="Y108" s="211">
        <f t="shared" si="43"/>
        <v>0.53165181244936055</v>
      </c>
      <c r="Z108" s="192">
        <f t="shared" si="50"/>
        <v>1.089049062544597E-2</v>
      </c>
    </row>
    <row r="109" spans="1:26" x14ac:dyDescent="0.25">
      <c r="A109" s="193" t="s">
        <v>105</v>
      </c>
      <c r="B109" s="194" t="s">
        <v>105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  <c r="H109" s="196" t="str">
        <f>IFERROR(G109/F109-1,"-")</f>
        <v>-</v>
      </c>
      <c r="I109" s="212" t="str">
        <f t="shared" si="35"/>
        <v>-</v>
      </c>
      <c r="J109" s="196">
        <f>G109/G$9</f>
        <v>0</v>
      </c>
      <c r="K109" s="195">
        <v>0</v>
      </c>
      <c r="L109" s="195">
        <v>0</v>
      </c>
      <c r="M109" s="195">
        <v>0</v>
      </c>
      <c r="N109" s="195">
        <v>0</v>
      </c>
      <c r="O109" s="195">
        <v>0</v>
      </c>
      <c r="P109" s="196" t="str">
        <f>IFERROR(O109/N109-1,"-")</f>
        <v>-</v>
      </c>
      <c r="Q109" s="212" t="str">
        <f t="shared" si="42"/>
        <v>-</v>
      </c>
      <c r="R109" s="196">
        <f>O109/O$9</f>
        <v>0</v>
      </c>
      <c r="S109" s="195">
        <v>3383</v>
      </c>
      <c r="T109" s="195">
        <v>20351</v>
      </c>
      <c r="U109" s="195">
        <v>11031</v>
      </c>
      <c r="V109" s="195">
        <v>14560</v>
      </c>
      <c r="W109" s="195">
        <v>12208</v>
      </c>
      <c r="X109" s="196">
        <f>IFERROR(W109/V109-1,"-")</f>
        <v>-0.16153846153846152</v>
      </c>
      <c r="Y109" s="212">
        <f t="shared" si="43"/>
        <v>2.6086313922553948</v>
      </c>
      <c r="Z109" s="196">
        <f t="shared" si="50"/>
        <v>2.9206700887215429E-3</v>
      </c>
    </row>
    <row r="110" spans="1:26" x14ac:dyDescent="0.25">
      <c r="A110" s="193" t="s">
        <v>102</v>
      </c>
      <c r="B110" s="194" t="s">
        <v>102</v>
      </c>
      <c r="C110" s="195">
        <v>0</v>
      </c>
      <c r="D110" s="195">
        <v>0</v>
      </c>
      <c r="E110" s="195">
        <v>0</v>
      </c>
      <c r="F110" s="195">
        <v>0</v>
      </c>
      <c r="G110" s="195">
        <v>0</v>
      </c>
      <c r="H110" s="196" t="str">
        <f>IFERROR(G110/F110-1,"-")</f>
        <v>-</v>
      </c>
      <c r="I110" s="212" t="str">
        <f t="shared" si="35"/>
        <v>-</v>
      </c>
      <c r="J110" s="196">
        <f>G110/G$9</f>
        <v>0</v>
      </c>
      <c r="K110" s="195">
        <v>0</v>
      </c>
      <c r="L110" s="195">
        <v>0</v>
      </c>
      <c r="M110" s="195">
        <v>0</v>
      </c>
      <c r="N110" s="195">
        <v>0</v>
      </c>
      <c r="O110" s="195">
        <v>0</v>
      </c>
      <c r="P110" s="196" t="str">
        <f>IFERROR(O110/N110-1,"-")</f>
        <v>-</v>
      </c>
      <c r="Q110" s="212" t="str">
        <f t="shared" si="42"/>
        <v>-</v>
      </c>
      <c r="R110" s="196">
        <f>O110/O$9</f>
        <v>0</v>
      </c>
      <c r="S110" s="195">
        <v>25004</v>
      </c>
      <c r="T110" s="195">
        <v>19308</v>
      </c>
      <c r="U110" s="195">
        <v>30101</v>
      </c>
      <c r="V110" s="195">
        <v>33983</v>
      </c>
      <c r="W110" s="195">
        <v>31271</v>
      </c>
      <c r="X110" s="196">
        <f>IFERROR(W110/V110-1,"-")</f>
        <v>-7.9804608186446191E-2</v>
      </c>
      <c r="Y110" s="212">
        <f t="shared" si="43"/>
        <v>0.25063989761638128</v>
      </c>
      <c r="Z110" s="196">
        <f t="shared" si="50"/>
        <v>7.9698205367244278E-3</v>
      </c>
    </row>
    <row r="111" spans="1:26" x14ac:dyDescent="0.25">
      <c r="A111" s="1" t="s">
        <v>148</v>
      </c>
      <c r="B111" s="190" t="s">
        <v>109</v>
      </c>
      <c r="C111" s="191">
        <v>0</v>
      </c>
      <c r="D111" s="191">
        <v>0</v>
      </c>
      <c r="E111" s="191">
        <v>0</v>
      </c>
      <c r="F111" s="191">
        <v>0</v>
      </c>
      <c r="G111" s="191">
        <v>0</v>
      </c>
      <c r="H111" s="192" t="str">
        <f>IFERROR(G111/F111-1,"-")</f>
        <v>-</v>
      </c>
      <c r="I111" s="211" t="str">
        <f t="shared" si="35"/>
        <v>-</v>
      </c>
      <c r="J111" s="192">
        <f>G111/G$9</f>
        <v>0</v>
      </c>
      <c r="K111" s="191">
        <v>0</v>
      </c>
      <c r="L111" s="191">
        <v>0</v>
      </c>
      <c r="M111" s="191">
        <v>0</v>
      </c>
      <c r="N111" s="191">
        <v>0</v>
      </c>
      <c r="O111" s="191">
        <v>0</v>
      </c>
      <c r="P111" s="192" t="str">
        <f>IFERROR(O111/N111-1,"-")</f>
        <v>-</v>
      </c>
      <c r="Q111" s="211" t="str">
        <f t="shared" si="42"/>
        <v>-</v>
      </c>
      <c r="R111" s="192">
        <f>O111/O$9</f>
        <v>0</v>
      </c>
      <c r="S111" s="191">
        <v>35112</v>
      </c>
      <c r="T111" s="191">
        <v>56338</v>
      </c>
      <c r="U111" s="191">
        <v>128662</v>
      </c>
      <c r="V111" s="191">
        <v>172218</v>
      </c>
      <c r="W111" s="191">
        <v>163799</v>
      </c>
      <c r="X111" s="192">
        <f>IFERROR(W111/V111-1,"-")</f>
        <v>-4.8885714617519671E-2</v>
      </c>
      <c r="Y111" s="211">
        <f t="shared" si="43"/>
        <v>3.6650432900432897</v>
      </c>
      <c r="Z111" s="192">
        <f t="shared" si="50"/>
        <v>3.4065746981696232E-2</v>
      </c>
    </row>
    <row r="112" spans="1:26" x14ac:dyDescent="0.25">
      <c r="A112" s="193" t="s">
        <v>112</v>
      </c>
      <c r="B112" s="194" t="s">
        <v>112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  <c r="H112" s="196" t="str">
        <f t="shared" ref="H112:H119" si="51">IFERROR(G112/F112-1,"-")</f>
        <v>-</v>
      </c>
      <c r="I112" s="212" t="str">
        <f t="shared" si="35"/>
        <v>-</v>
      </c>
      <c r="J112" s="196">
        <f t="shared" ref="J112:J119" si="52">G112/G$9</f>
        <v>0</v>
      </c>
      <c r="K112" s="195">
        <v>0</v>
      </c>
      <c r="L112" s="195">
        <v>0</v>
      </c>
      <c r="M112" s="195">
        <v>0</v>
      </c>
      <c r="N112" s="195">
        <v>0</v>
      </c>
      <c r="O112" s="195">
        <v>0</v>
      </c>
      <c r="P112" s="196" t="str">
        <f t="shared" ref="P112:P119" si="53">IFERROR(O112/N112-1,"-")</f>
        <v>-</v>
      </c>
      <c r="Q112" s="212" t="str">
        <f t="shared" si="42"/>
        <v>-</v>
      </c>
      <c r="R112" s="196">
        <f t="shared" ref="R112:R119" si="54">O112/O$9</f>
        <v>0</v>
      </c>
      <c r="S112" s="195">
        <v>20258</v>
      </c>
      <c r="T112" s="195">
        <v>23009</v>
      </c>
      <c r="U112" s="195">
        <v>77726</v>
      </c>
      <c r="V112" s="195">
        <v>113230</v>
      </c>
      <c r="W112" s="195">
        <v>102157</v>
      </c>
      <c r="X112" s="196">
        <f t="shared" ref="X112:X119" si="55">IFERROR(W112/V112-1,"-")</f>
        <v>-9.7792104565927795E-2</v>
      </c>
      <c r="Y112" s="212">
        <f t="shared" si="43"/>
        <v>4.042797906999704</v>
      </c>
      <c r="Z112" s="196">
        <f t="shared" si="50"/>
        <v>2.0579458192001691E-2</v>
      </c>
    </row>
    <row r="113" spans="1:26" x14ac:dyDescent="0.25">
      <c r="A113" s="193" t="s">
        <v>115</v>
      </c>
      <c r="B113" s="194" t="s">
        <v>115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  <c r="H113" s="196" t="str">
        <f t="shared" si="51"/>
        <v>-</v>
      </c>
      <c r="I113" s="212" t="str">
        <f t="shared" si="35"/>
        <v>-</v>
      </c>
      <c r="J113" s="196">
        <f t="shared" si="52"/>
        <v>0</v>
      </c>
      <c r="K113" s="195">
        <v>0</v>
      </c>
      <c r="L113" s="195">
        <v>0</v>
      </c>
      <c r="M113" s="195">
        <v>0</v>
      </c>
      <c r="N113" s="195">
        <v>0</v>
      </c>
      <c r="O113" s="195">
        <v>0</v>
      </c>
      <c r="P113" s="196" t="str">
        <f t="shared" si="53"/>
        <v>-</v>
      </c>
      <c r="Q113" s="212" t="str">
        <f t="shared" si="42"/>
        <v>-</v>
      </c>
      <c r="R113" s="196">
        <f t="shared" si="54"/>
        <v>0</v>
      </c>
      <c r="S113" s="195">
        <v>2717</v>
      </c>
      <c r="T113" s="195">
        <v>6854</v>
      </c>
      <c r="U113" s="195">
        <v>5917</v>
      </c>
      <c r="V113" s="195">
        <v>7594</v>
      </c>
      <c r="W113" s="195">
        <v>7215</v>
      </c>
      <c r="X113" s="196">
        <f t="shared" si="55"/>
        <v>-4.9907821964708998E-2</v>
      </c>
      <c r="Y113" s="212">
        <f t="shared" si="43"/>
        <v>1.6555023923444976</v>
      </c>
      <c r="Z113" s="196">
        <f t="shared" si="50"/>
        <v>1.5666399161422689E-3</v>
      </c>
    </row>
    <row r="114" spans="1:26" x14ac:dyDescent="0.25">
      <c r="A114" s="193" t="s">
        <v>118</v>
      </c>
      <c r="B114" s="194" t="s">
        <v>118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  <c r="H114" s="196" t="str">
        <f t="shared" si="51"/>
        <v>-</v>
      </c>
      <c r="I114" s="212" t="str">
        <f t="shared" si="35"/>
        <v>-</v>
      </c>
      <c r="J114" s="196">
        <f t="shared" si="52"/>
        <v>0</v>
      </c>
      <c r="K114" s="195">
        <v>0</v>
      </c>
      <c r="L114" s="195">
        <v>0</v>
      </c>
      <c r="M114" s="195">
        <v>0</v>
      </c>
      <c r="N114" s="195">
        <v>0</v>
      </c>
      <c r="O114" s="195">
        <v>0</v>
      </c>
      <c r="P114" s="196" t="str">
        <f t="shared" si="53"/>
        <v>-</v>
      </c>
      <c r="Q114" s="212" t="str">
        <f t="shared" si="42"/>
        <v>-</v>
      </c>
      <c r="R114" s="196">
        <f t="shared" si="54"/>
        <v>0</v>
      </c>
      <c r="S114" s="195">
        <v>1871</v>
      </c>
      <c r="T114" s="195">
        <v>6300</v>
      </c>
      <c r="U114" s="195">
        <v>8638</v>
      </c>
      <c r="V114" s="195">
        <v>12056</v>
      </c>
      <c r="W114" s="195">
        <v>12800</v>
      </c>
      <c r="X114" s="196">
        <f t="shared" si="55"/>
        <v>6.1712010617120061E-2</v>
      </c>
      <c r="Y114" s="212">
        <f t="shared" si="43"/>
        <v>5.841261357562801</v>
      </c>
      <c r="Z114" s="196">
        <f t="shared" si="50"/>
        <v>2.2870771667461414E-3</v>
      </c>
    </row>
    <row r="115" spans="1:26" x14ac:dyDescent="0.25">
      <c r="A115" s="193" t="s">
        <v>125</v>
      </c>
      <c r="B115" s="194" t="s">
        <v>125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  <c r="H115" s="196" t="str">
        <f t="shared" si="51"/>
        <v>-</v>
      </c>
      <c r="I115" s="212" t="str">
        <f t="shared" si="35"/>
        <v>-</v>
      </c>
      <c r="J115" s="196">
        <f t="shared" si="52"/>
        <v>0</v>
      </c>
      <c r="K115" s="195">
        <v>0</v>
      </c>
      <c r="L115" s="195">
        <v>0</v>
      </c>
      <c r="M115" s="195">
        <v>0</v>
      </c>
      <c r="N115" s="195">
        <v>0</v>
      </c>
      <c r="O115" s="195">
        <v>0</v>
      </c>
      <c r="P115" s="196" t="str">
        <f t="shared" si="53"/>
        <v>-</v>
      </c>
      <c r="Q115" s="212" t="str">
        <f t="shared" si="42"/>
        <v>-</v>
      </c>
      <c r="R115" s="196">
        <f t="shared" si="54"/>
        <v>0</v>
      </c>
      <c r="S115" s="195">
        <v>1133</v>
      </c>
      <c r="T115" s="195">
        <v>3529</v>
      </c>
      <c r="U115" s="195">
        <v>5894</v>
      </c>
      <c r="V115" s="195">
        <v>6032</v>
      </c>
      <c r="W115" s="195">
        <v>5918</v>
      </c>
      <c r="X115" s="196">
        <f t="shared" si="55"/>
        <v>-1.8899204244031798E-2</v>
      </c>
      <c r="Y115" s="212">
        <f t="shared" si="43"/>
        <v>4.2233009708737868</v>
      </c>
      <c r="Z115" s="196">
        <f t="shared" si="50"/>
        <v>1.5605502223664921E-3</v>
      </c>
    </row>
    <row r="116" spans="1:26" x14ac:dyDescent="0.25">
      <c r="A116" s="193" t="s">
        <v>121</v>
      </c>
      <c r="B116" s="194" t="s">
        <v>121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  <c r="H116" s="196" t="str">
        <f t="shared" si="51"/>
        <v>-</v>
      </c>
      <c r="I116" s="212" t="str">
        <f t="shared" si="35"/>
        <v>-</v>
      </c>
      <c r="J116" s="196">
        <f t="shared" si="52"/>
        <v>0</v>
      </c>
      <c r="K116" s="195">
        <v>0</v>
      </c>
      <c r="L116" s="195">
        <v>0</v>
      </c>
      <c r="M116" s="195">
        <v>0</v>
      </c>
      <c r="N116" s="195">
        <v>0</v>
      </c>
      <c r="O116" s="195">
        <v>0</v>
      </c>
      <c r="P116" s="196" t="str">
        <f t="shared" si="53"/>
        <v>-</v>
      </c>
      <c r="Q116" s="212" t="str">
        <f t="shared" si="42"/>
        <v>-</v>
      </c>
      <c r="R116" s="196">
        <f t="shared" si="54"/>
        <v>0</v>
      </c>
      <c r="S116" s="195">
        <v>2557</v>
      </c>
      <c r="T116" s="195">
        <v>4170</v>
      </c>
      <c r="U116" s="195">
        <v>4317</v>
      </c>
      <c r="V116" s="195">
        <v>4916</v>
      </c>
      <c r="W116" s="195">
        <v>4686</v>
      </c>
      <c r="X116" s="196">
        <f t="shared" si="55"/>
        <v>-4.6786004882017895E-2</v>
      </c>
      <c r="Y116" s="212">
        <f t="shared" si="43"/>
        <v>0.83261634728197098</v>
      </c>
      <c r="Z116" s="196">
        <f t="shared" si="50"/>
        <v>1.1430090447838727E-3</v>
      </c>
    </row>
    <row r="117" spans="1:26" x14ac:dyDescent="0.25">
      <c r="A117" s="193" t="s">
        <v>130</v>
      </c>
      <c r="B117" s="194" t="s">
        <v>130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  <c r="H117" s="196" t="str">
        <f t="shared" si="51"/>
        <v>-</v>
      </c>
      <c r="I117" s="212" t="str">
        <f t="shared" si="35"/>
        <v>-</v>
      </c>
      <c r="J117" s="196">
        <f t="shared" si="52"/>
        <v>0</v>
      </c>
      <c r="K117" s="195">
        <v>0</v>
      </c>
      <c r="L117" s="195">
        <v>0</v>
      </c>
      <c r="M117" s="195">
        <v>0</v>
      </c>
      <c r="N117" s="195">
        <v>0</v>
      </c>
      <c r="O117" s="195">
        <v>0</v>
      </c>
      <c r="P117" s="196" t="str">
        <f t="shared" si="53"/>
        <v>-</v>
      </c>
      <c r="Q117" s="212" t="str">
        <f t="shared" si="42"/>
        <v>-</v>
      </c>
      <c r="R117" s="196">
        <f t="shared" si="54"/>
        <v>0</v>
      </c>
      <c r="S117" s="195">
        <v>226</v>
      </c>
      <c r="T117" s="195">
        <v>308</v>
      </c>
      <c r="U117" s="195">
        <v>1123</v>
      </c>
      <c r="V117" s="195">
        <v>1300</v>
      </c>
      <c r="W117" s="195">
        <v>1069</v>
      </c>
      <c r="X117" s="196">
        <f t="shared" si="55"/>
        <v>-0.1776923076923077</v>
      </c>
      <c r="Y117" s="212">
        <f t="shared" si="43"/>
        <v>3.7300884955752212</v>
      </c>
      <c r="Z117" s="196">
        <f t="shared" si="50"/>
        <v>2.9733591783467434E-4</v>
      </c>
    </row>
    <row r="118" spans="1:26" x14ac:dyDescent="0.25">
      <c r="A118" s="193" t="s">
        <v>133</v>
      </c>
      <c r="B118" s="194" t="s">
        <v>133</v>
      </c>
      <c r="C118" s="195">
        <v>0</v>
      </c>
      <c r="D118" s="195">
        <v>0</v>
      </c>
      <c r="E118" s="195">
        <v>0</v>
      </c>
      <c r="F118" s="195">
        <v>0</v>
      </c>
      <c r="G118" s="195">
        <v>0</v>
      </c>
      <c r="H118" s="196" t="str">
        <f t="shared" si="51"/>
        <v>-</v>
      </c>
      <c r="I118" s="212" t="str">
        <f t="shared" si="35"/>
        <v>-</v>
      </c>
      <c r="J118" s="196">
        <f t="shared" si="52"/>
        <v>0</v>
      </c>
      <c r="K118" s="195">
        <v>0</v>
      </c>
      <c r="L118" s="195">
        <v>0</v>
      </c>
      <c r="M118" s="195">
        <v>0</v>
      </c>
      <c r="N118" s="195">
        <v>0</v>
      </c>
      <c r="O118" s="195">
        <v>0</v>
      </c>
      <c r="P118" s="196" t="str">
        <f t="shared" si="53"/>
        <v>-</v>
      </c>
      <c r="Q118" s="212" t="str">
        <f t="shared" si="42"/>
        <v>-</v>
      </c>
      <c r="R118" s="196">
        <f t="shared" si="54"/>
        <v>0</v>
      </c>
      <c r="S118" s="195">
        <v>549</v>
      </c>
      <c r="T118" s="195">
        <v>470</v>
      </c>
      <c r="U118" s="195">
        <v>840</v>
      </c>
      <c r="V118" s="195">
        <v>770</v>
      </c>
      <c r="W118" s="195">
        <v>1368</v>
      </c>
      <c r="X118" s="196">
        <f t="shared" si="55"/>
        <v>0.77662337662337655</v>
      </c>
      <c r="Y118" s="212">
        <f t="shared" si="43"/>
        <v>1.4918032786885247</v>
      </c>
      <c r="Z118" s="196">
        <f t="shared" si="50"/>
        <v>2.2240620746315801E-4</v>
      </c>
    </row>
    <row r="119" spans="1:26" x14ac:dyDescent="0.25">
      <c r="A119" s="198" t="s">
        <v>147</v>
      </c>
      <c r="B119" s="199" t="s">
        <v>147</v>
      </c>
      <c r="C119" s="200">
        <f>C111-SUM(C112:C118)</f>
        <v>0</v>
      </c>
      <c r="D119" s="200">
        <f>D111-SUM(D112:D118)</f>
        <v>0</v>
      </c>
      <c r="E119" s="200">
        <f>E111-SUM(E112:E118)</f>
        <v>0</v>
      </c>
      <c r="F119" s="200">
        <f>F111-SUM(F112:F118)</f>
        <v>0</v>
      </c>
      <c r="G119" s="200">
        <f>G111-SUM(G112:G118)</f>
        <v>0</v>
      </c>
      <c r="H119" s="201" t="str">
        <f t="shared" si="51"/>
        <v>-</v>
      </c>
      <c r="I119" s="213" t="str">
        <f t="shared" si="35"/>
        <v>-</v>
      </c>
      <c r="J119" s="201">
        <f t="shared" si="52"/>
        <v>0</v>
      </c>
      <c r="K119" s="200">
        <f>K111-SUM(K112:K118)</f>
        <v>0</v>
      </c>
      <c r="L119" s="200">
        <f>L111-SUM(L112:L118)</f>
        <v>0</v>
      </c>
      <c r="M119" s="200">
        <f>M111-SUM(M112:M118)</f>
        <v>0</v>
      </c>
      <c r="N119" s="200">
        <f>N111-SUM(N112:N118)</f>
        <v>0</v>
      </c>
      <c r="O119" s="200">
        <f>O111-SUM(O112:O118)</f>
        <v>0</v>
      </c>
      <c r="P119" s="201" t="str">
        <f t="shared" si="53"/>
        <v>-</v>
      </c>
      <c r="Q119" s="213" t="str">
        <f t="shared" si="42"/>
        <v>-</v>
      </c>
      <c r="R119" s="201">
        <f t="shared" si="54"/>
        <v>0</v>
      </c>
      <c r="S119" s="200">
        <f>S111-SUM(S112:S118)</f>
        <v>5801</v>
      </c>
      <c r="T119" s="200">
        <f>T111-SUM(T112:T118)</f>
        <v>11698</v>
      </c>
      <c r="U119" s="200">
        <f>U111-SUM(U112:U118)</f>
        <v>24207</v>
      </c>
      <c r="V119" s="200">
        <f>V111-SUM(V112:V118)</f>
        <v>26320</v>
      </c>
      <c r="W119" s="200">
        <f>W111-SUM(W112:W118)</f>
        <v>28586</v>
      </c>
      <c r="X119" s="201">
        <f t="shared" si="55"/>
        <v>8.6094224924012197E-2</v>
      </c>
      <c r="Y119" s="213">
        <f t="shared" si="43"/>
        <v>3.9277710739527665</v>
      </c>
      <c r="Z119" s="201">
        <f t="shared" si="50"/>
        <v>6.4092703143579354E-3</v>
      </c>
    </row>
    <row r="120" spans="1:26" x14ac:dyDescent="0.25">
      <c r="A120" s="1"/>
      <c r="B120" s="186" t="s">
        <v>53</v>
      </c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</row>
    <row r="121" spans="1:26" x14ac:dyDescent="0.25">
      <c r="A121" s="1" t="s">
        <v>0</v>
      </c>
      <c r="B121" s="187" t="s">
        <v>70</v>
      </c>
      <c r="C121" s="209">
        <f>C122+C125</f>
        <v>48728</v>
      </c>
      <c r="D121" s="209">
        <f>D122+D125</f>
        <v>61314</v>
      </c>
      <c r="E121" s="209">
        <f>E122+E125</f>
        <v>93434</v>
      </c>
      <c r="F121" s="209">
        <f>F122+F125</f>
        <v>93472</v>
      </c>
      <c r="G121" s="209">
        <f>G122+G125</f>
        <v>99644</v>
      </c>
      <c r="H121" s="210">
        <f>IFERROR(G121/F121-1,"-")</f>
        <v>6.6030469017459792E-2</v>
      </c>
      <c r="I121" s="210">
        <f t="shared" si="35"/>
        <v>1.0449023148908223</v>
      </c>
      <c r="J121" s="210">
        <f>G121/G$9</f>
        <v>0.13131613974512724</v>
      </c>
      <c r="K121" s="209">
        <f>K122+K125</f>
        <v>54788</v>
      </c>
      <c r="L121" s="209">
        <f>L122+L125</f>
        <v>102944</v>
      </c>
      <c r="M121" s="209">
        <f>M122+M125</f>
        <v>135697</v>
      </c>
      <c r="N121" s="209">
        <f>N122+N125</f>
        <v>145637</v>
      </c>
      <c r="O121" s="209">
        <f>O122+O125</f>
        <v>151227</v>
      </c>
      <c r="P121" s="210">
        <f>IFERROR(O121/N121-1,"-")</f>
        <v>3.8383103194929769E-2</v>
      </c>
      <c r="Q121" s="210">
        <f t="shared" si="42"/>
        <v>1.7602212163247426</v>
      </c>
      <c r="R121" s="210">
        <f>O121/O$9</f>
        <v>4.2952088001976807E-2</v>
      </c>
      <c r="S121" s="209">
        <f>S122+S125</f>
        <v>103516</v>
      </c>
      <c r="T121" s="209">
        <f>T122+T125</f>
        <v>164258</v>
      </c>
      <c r="U121" s="209">
        <f>U122+U125</f>
        <v>229131</v>
      </c>
      <c r="V121" s="209">
        <f>V122+V125</f>
        <v>239109</v>
      </c>
      <c r="W121" s="209">
        <f>W122+W125</f>
        <v>250871</v>
      </c>
      <c r="X121" s="210">
        <f>IFERROR(W121/V121-1,"-")</f>
        <v>4.9190954752853289E-2</v>
      </c>
      <c r="Y121" s="210">
        <f t="shared" si="43"/>
        <v>1.4234997488310985</v>
      </c>
      <c r="Z121" s="210">
        <f t="shared" ref="Z121:Z133" si="56">U121/U$9</f>
        <v>6.066685324076293E-2</v>
      </c>
    </row>
    <row r="122" spans="1:26" x14ac:dyDescent="0.25">
      <c r="A122" s="1" t="s">
        <v>98</v>
      </c>
      <c r="B122" s="190" t="s">
        <v>99</v>
      </c>
      <c r="C122" s="191">
        <v>23736</v>
      </c>
      <c r="D122" s="191">
        <v>32824</v>
      </c>
      <c r="E122" s="191">
        <v>51574</v>
      </c>
      <c r="F122" s="191">
        <v>60712</v>
      </c>
      <c r="G122" s="191">
        <v>66829</v>
      </c>
      <c r="H122" s="192">
        <f>IFERROR(G122/F122-1,"-")</f>
        <v>0.10075438134141512</v>
      </c>
      <c r="I122" s="211">
        <f t="shared" si="35"/>
        <v>1.8155123019885404</v>
      </c>
      <c r="J122" s="192">
        <f>G122/G$9</f>
        <v>8.8070795060687129E-2</v>
      </c>
      <c r="K122" s="191">
        <v>37835</v>
      </c>
      <c r="L122" s="191">
        <v>71733</v>
      </c>
      <c r="M122" s="191">
        <v>83312</v>
      </c>
      <c r="N122" s="191">
        <v>85718</v>
      </c>
      <c r="O122" s="191">
        <v>89737</v>
      </c>
      <c r="P122" s="192">
        <f>IFERROR(O122/N122-1,"-")</f>
        <v>4.6886301593597635E-2</v>
      </c>
      <c r="Q122" s="211">
        <f t="shared" si="42"/>
        <v>1.3717985991806527</v>
      </c>
      <c r="R122" s="192">
        <f>O122/O$9</f>
        <v>2.5487456082798659E-2</v>
      </c>
      <c r="S122" s="191">
        <v>61571</v>
      </c>
      <c r="T122" s="191">
        <v>104557</v>
      </c>
      <c r="U122" s="191">
        <v>134886</v>
      </c>
      <c r="V122" s="191">
        <v>146430</v>
      </c>
      <c r="W122" s="191">
        <v>156566</v>
      </c>
      <c r="X122" s="192">
        <f>IFERROR(W122/V122-1,"-")</f>
        <v>6.9220788089872309E-2</v>
      </c>
      <c r="Y122" s="211">
        <f t="shared" si="43"/>
        <v>1.5428529664939665</v>
      </c>
      <c r="Z122" s="192">
        <f t="shared" si="56"/>
        <v>3.5713671071280394E-2</v>
      </c>
    </row>
    <row r="123" spans="1:26" x14ac:dyDescent="0.25">
      <c r="A123" s="193" t="s">
        <v>105</v>
      </c>
      <c r="B123" s="194" t="s">
        <v>105</v>
      </c>
      <c r="C123" s="195">
        <v>11647</v>
      </c>
      <c r="D123" s="195">
        <v>15693</v>
      </c>
      <c r="E123" s="195">
        <v>29334</v>
      </c>
      <c r="F123" s="195">
        <v>29429</v>
      </c>
      <c r="G123" s="195">
        <v>38467</v>
      </c>
      <c r="H123" s="196">
        <f>IFERROR(G123/F123-1,"-")</f>
        <v>0.3071120323490435</v>
      </c>
      <c r="I123" s="212">
        <f t="shared" si="35"/>
        <v>2.3027389027217309</v>
      </c>
      <c r="J123" s="196">
        <f>G123/G$9</f>
        <v>5.0693849580263836E-2</v>
      </c>
      <c r="K123" s="195">
        <v>16144</v>
      </c>
      <c r="L123" s="195">
        <v>37554</v>
      </c>
      <c r="M123" s="195">
        <v>40531</v>
      </c>
      <c r="N123" s="195">
        <v>36692</v>
      </c>
      <c r="O123" s="195">
        <v>37326</v>
      </c>
      <c r="P123" s="196">
        <f>IFERROR(O123/N123-1,"-")</f>
        <v>1.7278970892837586E-2</v>
      </c>
      <c r="Q123" s="212">
        <f t="shared" si="42"/>
        <v>1.3120664023785928</v>
      </c>
      <c r="R123" s="196">
        <f>O123/O$9</f>
        <v>1.0601477492523069E-2</v>
      </c>
      <c r="S123" s="195">
        <v>27791</v>
      </c>
      <c r="T123" s="195">
        <v>53247</v>
      </c>
      <c r="U123" s="195">
        <v>69865</v>
      </c>
      <c r="V123" s="195">
        <v>66121</v>
      </c>
      <c r="W123" s="195">
        <v>75793</v>
      </c>
      <c r="X123" s="196">
        <f>IFERROR(W123/V123-1,"-")</f>
        <v>0.14627727953297742</v>
      </c>
      <c r="Y123" s="212">
        <f t="shared" si="43"/>
        <v>1.7272498290813574</v>
      </c>
      <c r="Z123" s="196">
        <f t="shared" si="56"/>
        <v>1.8498106767158969E-2</v>
      </c>
    </row>
    <row r="124" spans="1:26" x14ac:dyDescent="0.25">
      <c r="A124" s="193" t="s">
        <v>102</v>
      </c>
      <c r="B124" s="194" t="s">
        <v>102</v>
      </c>
      <c r="C124" s="195">
        <v>12089</v>
      </c>
      <c r="D124" s="195">
        <v>17131</v>
      </c>
      <c r="E124" s="195">
        <v>22240</v>
      </c>
      <c r="F124" s="195">
        <v>31283</v>
      </c>
      <c r="G124" s="195">
        <v>28362</v>
      </c>
      <c r="H124" s="196">
        <f>IFERROR(G124/F124-1,"-")</f>
        <v>-9.337339769203723E-2</v>
      </c>
      <c r="I124" s="212">
        <f t="shared" si="35"/>
        <v>1.3460997601124989</v>
      </c>
      <c r="J124" s="196">
        <f>G124/G$9</f>
        <v>3.7376945480423293E-2</v>
      </c>
      <c r="K124" s="195">
        <v>21691</v>
      </c>
      <c r="L124" s="195">
        <v>34179</v>
      </c>
      <c r="M124" s="195">
        <v>42781</v>
      </c>
      <c r="N124" s="195">
        <v>49026</v>
      </c>
      <c r="O124" s="195">
        <v>52411</v>
      </c>
      <c r="P124" s="196">
        <f>IFERROR(O124/N124-1,"-")</f>
        <v>6.9044996532452219E-2</v>
      </c>
      <c r="Q124" s="212">
        <f t="shared" si="42"/>
        <v>1.4162555898759854</v>
      </c>
      <c r="R124" s="196">
        <f>O124/O$9</f>
        <v>1.4885978590275588E-2</v>
      </c>
      <c r="S124" s="195">
        <v>33780</v>
      </c>
      <c r="T124" s="195">
        <v>51310</v>
      </c>
      <c r="U124" s="195">
        <v>65021</v>
      </c>
      <c r="V124" s="195">
        <v>80309</v>
      </c>
      <c r="W124" s="195">
        <v>80773</v>
      </c>
      <c r="X124" s="196">
        <f>IFERROR(W124/V124-1,"-")</f>
        <v>5.7776836967213807E-3</v>
      </c>
      <c r="Y124" s="212">
        <f t="shared" si="43"/>
        <v>1.3911486086441682</v>
      </c>
      <c r="Z124" s="196">
        <f t="shared" si="56"/>
        <v>1.7215564304121425E-2</v>
      </c>
    </row>
    <row r="125" spans="1:26" x14ac:dyDescent="0.25">
      <c r="A125" s="1" t="s">
        <v>148</v>
      </c>
      <c r="B125" s="190" t="s">
        <v>109</v>
      </c>
      <c r="C125" s="191">
        <v>24992</v>
      </c>
      <c r="D125" s="191">
        <v>28490</v>
      </c>
      <c r="E125" s="191">
        <v>41860</v>
      </c>
      <c r="F125" s="191">
        <v>32760</v>
      </c>
      <c r="G125" s="191">
        <v>32815</v>
      </c>
      <c r="H125" s="192">
        <f>IFERROR(G125/F125-1,"-")</f>
        <v>1.6788766788766729E-3</v>
      </c>
      <c r="I125" s="211">
        <f t="shared" si="35"/>
        <v>0.31302016645326503</v>
      </c>
      <c r="J125" s="192">
        <f>G125/G$9</f>
        <v>4.3245344684440107E-2</v>
      </c>
      <c r="K125" s="191">
        <v>16953</v>
      </c>
      <c r="L125" s="191">
        <v>31211</v>
      </c>
      <c r="M125" s="191">
        <v>52385</v>
      </c>
      <c r="N125" s="191">
        <v>59919</v>
      </c>
      <c r="O125" s="191">
        <v>61490</v>
      </c>
      <c r="P125" s="192">
        <f>IFERROR(O125/N125-1,"-")</f>
        <v>2.6218728616966169E-2</v>
      </c>
      <c r="Q125" s="211">
        <f t="shared" si="42"/>
        <v>2.6270866513301478</v>
      </c>
      <c r="R125" s="192">
        <f>O125/O$9</f>
        <v>1.7464631919178148E-2</v>
      </c>
      <c r="S125" s="191">
        <v>41945</v>
      </c>
      <c r="T125" s="191">
        <v>59701</v>
      </c>
      <c r="U125" s="191">
        <v>94245</v>
      </c>
      <c r="V125" s="191">
        <v>92679</v>
      </c>
      <c r="W125" s="191">
        <v>94305</v>
      </c>
      <c r="X125" s="192">
        <f>IFERROR(W125/V125-1,"-")</f>
        <v>1.7544427540219454E-2</v>
      </c>
      <c r="Y125" s="211">
        <f t="shared" si="43"/>
        <v>1.2483013470020263</v>
      </c>
      <c r="Z125" s="192">
        <f t="shared" si="56"/>
        <v>2.4953182169482533E-2</v>
      </c>
    </row>
    <row r="126" spans="1:26" x14ac:dyDescent="0.25">
      <c r="A126" s="193" t="s">
        <v>112</v>
      </c>
      <c r="B126" s="194" t="s">
        <v>112</v>
      </c>
      <c r="C126" s="195">
        <v>1440</v>
      </c>
      <c r="D126" s="195">
        <v>653</v>
      </c>
      <c r="E126" s="195">
        <v>2495</v>
      </c>
      <c r="F126" s="195">
        <v>3067</v>
      </c>
      <c r="G126" s="195">
        <v>2396</v>
      </c>
      <c r="H126" s="196">
        <f t="shared" ref="H126:H133" si="57">IFERROR(G126/F126-1,"-")</f>
        <v>-0.21878056732963813</v>
      </c>
      <c r="I126" s="212">
        <f t="shared" si="35"/>
        <v>0.66388888888888897</v>
      </c>
      <c r="J126" s="196">
        <f t="shared" ref="J126:J133" si="58">G126/G$9</f>
        <v>3.1575756777058816E-3</v>
      </c>
      <c r="K126" s="195">
        <v>2501</v>
      </c>
      <c r="L126" s="195">
        <v>2683</v>
      </c>
      <c r="M126" s="195">
        <v>7422</v>
      </c>
      <c r="N126" s="195">
        <v>8579</v>
      </c>
      <c r="O126" s="195">
        <v>8260</v>
      </c>
      <c r="P126" s="196">
        <f t="shared" ref="P126:P133" si="59">IFERROR(O126/N126-1,"-")</f>
        <v>-3.7183820958153646E-2</v>
      </c>
      <c r="Q126" s="212">
        <f t="shared" si="42"/>
        <v>2.3026789284286284</v>
      </c>
      <c r="R126" s="196">
        <f t="shared" ref="R126:R133" si="60">O126/O$9</f>
        <v>2.3460377240593837E-3</v>
      </c>
      <c r="S126" s="195">
        <v>3941</v>
      </c>
      <c r="T126" s="195">
        <v>3336</v>
      </c>
      <c r="U126" s="195">
        <v>9917</v>
      </c>
      <c r="V126" s="195">
        <v>11646</v>
      </c>
      <c r="W126" s="195">
        <v>10656</v>
      </c>
      <c r="X126" s="196">
        <f t="shared" ref="X126:X133" si="61">IFERROR(W126/V126-1,"-")</f>
        <v>-8.5007727975270453E-2</v>
      </c>
      <c r="Y126" s="212">
        <f t="shared" si="43"/>
        <v>1.7038822633849278</v>
      </c>
      <c r="Z126" s="196">
        <f t="shared" si="56"/>
        <v>2.6257170945382597E-3</v>
      </c>
    </row>
    <row r="127" spans="1:26" x14ac:dyDescent="0.25">
      <c r="A127" s="193" t="s">
        <v>115</v>
      </c>
      <c r="B127" s="194" t="s">
        <v>115</v>
      </c>
      <c r="C127" s="195">
        <v>1742</v>
      </c>
      <c r="D127" s="195">
        <v>2401</v>
      </c>
      <c r="E127" s="195">
        <v>4143</v>
      </c>
      <c r="F127" s="195">
        <v>4500</v>
      </c>
      <c r="G127" s="195">
        <v>4504</v>
      </c>
      <c r="H127" s="196">
        <f t="shared" si="57"/>
        <v>8.8888888888893902E-4</v>
      </c>
      <c r="I127" s="212">
        <f t="shared" si="35"/>
        <v>1.5855338691159586</v>
      </c>
      <c r="J127" s="196">
        <f t="shared" si="58"/>
        <v>5.9356097046691534E-3</v>
      </c>
      <c r="K127" s="195">
        <v>2311</v>
      </c>
      <c r="L127" s="195">
        <v>4913</v>
      </c>
      <c r="M127" s="195">
        <v>7118</v>
      </c>
      <c r="N127" s="195">
        <v>8816</v>
      </c>
      <c r="O127" s="195">
        <v>8623</v>
      </c>
      <c r="P127" s="196">
        <f t="shared" si="59"/>
        <v>-2.1892014519056313E-2</v>
      </c>
      <c r="Q127" s="212">
        <f t="shared" si="42"/>
        <v>2.7312851579402855</v>
      </c>
      <c r="R127" s="196">
        <f t="shared" si="60"/>
        <v>2.4491384133854799E-3</v>
      </c>
      <c r="S127" s="195">
        <v>4053</v>
      </c>
      <c r="T127" s="195">
        <v>7314</v>
      </c>
      <c r="U127" s="195">
        <v>11261</v>
      </c>
      <c r="V127" s="195">
        <v>13316</v>
      </c>
      <c r="W127" s="195">
        <v>13127</v>
      </c>
      <c r="X127" s="196">
        <f t="shared" si="61"/>
        <v>-1.4193451486932962E-2</v>
      </c>
      <c r="Y127" s="212">
        <f t="shared" si="43"/>
        <v>2.2388354305452749</v>
      </c>
      <c r="Z127" s="196">
        <f t="shared" si="56"/>
        <v>2.9815670264793123E-3</v>
      </c>
    </row>
    <row r="128" spans="1:26" x14ac:dyDescent="0.25">
      <c r="A128" s="193" t="s">
        <v>118</v>
      </c>
      <c r="B128" s="194" t="s">
        <v>118</v>
      </c>
      <c r="C128" s="195">
        <v>1315</v>
      </c>
      <c r="D128" s="195">
        <v>2102</v>
      </c>
      <c r="E128" s="195">
        <v>2821</v>
      </c>
      <c r="F128" s="195">
        <v>3000</v>
      </c>
      <c r="G128" s="195">
        <v>2742</v>
      </c>
      <c r="H128" s="196">
        <f t="shared" si="57"/>
        <v>-8.5999999999999965E-2</v>
      </c>
      <c r="I128" s="212">
        <f t="shared" si="35"/>
        <v>1.0851711026615969</v>
      </c>
      <c r="J128" s="196">
        <f t="shared" si="58"/>
        <v>3.6135527997786009E-3</v>
      </c>
      <c r="K128" s="195">
        <v>1591</v>
      </c>
      <c r="L128" s="195">
        <v>5032</v>
      </c>
      <c r="M128" s="195">
        <v>5703</v>
      </c>
      <c r="N128" s="195">
        <v>5756</v>
      </c>
      <c r="O128" s="195">
        <v>5825</v>
      </c>
      <c r="P128" s="196">
        <f t="shared" si="59"/>
        <v>1.1987491313412146E-2</v>
      </c>
      <c r="Q128" s="212">
        <f t="shared" si="42"/>
        <v>2.6612193588937774</v>
      </c>
      <c r="R128" s="196">
        <f t="shared" si="60"/>
        <v>1.6544394361556792E-3</v>
      </c>
      <c r="S128" s="195">
        <v>2906</v>
      </c>
      <c r="T128" s="195">
        <v>7134</v>
      </c>
      <c r="U128" s="195">
        <v>8524</v>
      </c>
      <c r="V128" s="195">
        <v>8756</v>
      </c>
      <c r="W128" s="195">
        <v>8567</v>
      </c>
      <c r="X128" s="196">
        <f t="shared" si="61"/>
        <v>-2.1585198720877163E-2</v>
      </c>
      <c r="Y128" s="212">
        <f t="shared" si="43"/>
        <v>1.9480385409497591</v>
      </c>
      <c r="Z128" s="196">
        <f t="shared" si="56"/>
        <v>2.2568934671618559E-3</v>
      </c>
    </row>
    <row r="129" spans="1:26" x14ac:dyDescent="0.25">
      <c r="A129" s="193" t="s">
        <v>125</v>
      </c>
      <c r="B129" s="194" t="s">
        <v>125</v>
      </c>
      <c r="C129" s="195">
        <v>369</v>
      </c>
      <c r="D129" s="195">
        <v>359</v>
      </c>
      <c r="E129" s="195">
        <v>801</v>
      </c>
      <c r="F129" s="195">
        <v>649</v>
      </c>
      <c r="G129" s="195">
        <v>650</v>
      </c>
      <c r="H129" s="196">
        <f t="shared" si="57"/>
        <v>1.5408320493066618E-3</v>
      </c>
      <c r="I129" s="212">
        <f t="shared" si="35"/>
        <v>0.7615176151761518</v>
      </c>
      <c r="J129" s="196">
        <f t="shared" si="58"/>
        <v>8.5660442007880764E-4</v>
      </c>
      <c r="K129" s="195">
        <v>415</v>
      </c>
      <c r="L129" s="195">
        <v>974</v>
      </c>
      <c r="M129" s="195">
        <v>1772</v>
      </c>
      <c r="N129" s="195">
        <v>1988</v>
      </c>
      <c r="O129" s="195">
        <v>1706</v>
      </c>
      <c r="P129" s="196">
        <f t="shared" si="59"/>
        <v>-0.14185110663983902</v>
      </c>
      <c r="Q129" s="212">
        <f t="shared" si="42"/>
        <v>3.1108433734939762</v>
      </c>
      <c r="R129" s="196">
        <f t="shared" si="60"/>
        <v>4.8454483743889937E-4</v>
      </c>
      <c r="S129" s="195">
        <v>784</v>
      </c>
      <c r="T129" s="195">
        <v>1333</v>
      </c>
      <c r="U129" s="195">
        <v>2573</v>
      </c>
      <c r="V129" s="195">
        <v>2637</v>
      </c>
      <c r="W129" s="195">
        <v>2356</v>
      </c>
      <c r="X129" s="196">
        <f t="shared" si="61"/>
        <v>-0.10656048540007579</v>
      </c>
      <c r="Y129" s="212">
        <f t="shared" si="43"/>
        <v>2.0051020408163267</v>
      </c>
      <c r="Z129" s="196">
        <f t="shared" si="56"/>
        <v>6.812513950032209E-4</v>
      </c>
    </row>
    <row r="130" spans="1:26" x14ac:dyDescent="0.25">
      <c r="A130" s="193" t="s">
        <v>121</v>
      </c>
      <c r="B130" s="194" t="s">
        <v>121</v>
      </c>
      <c r="C130" s="195">
        <v>323</v>
      </c>
      <c r="D130" s="195">
        <v>312</v>
      </c>
      <c r="E130" s="195">
        <v>635</v>
      </c>
      <c r="F130" s="195">
        <v>526</v>
      </c>
      <c r="G130" s="195">
        <v>594</v>
      </c>
      <c r="H130" s="196">
        <f t="shared" si="57"/>
        <v>0.12927756653992395</v>
      </c>
      <c r="I130" s="212">
        <f t="shared" si="35"/>
        <v>0.83900928792569651</v>
      </c>
      <c r="J130" s="196">
        <f t="shared" si="58"/>
        <v>7.8280465465663338E-4</v>
      </c>
      <c r="K130" s="195">
        <v>489</v>
      </c>
      <c r="L130" s="195">
        <v>1045</v>
      </c>
      <c r="M130" s="195">
        <v>1201</v>
      </c>
      <c r="N130" s="195">
        <v>1408</v>
      </c>
      <c r="O130" s="195">
        <v>1497</v>
      </c>
      <c r="P130" s="196">
        <f t="shared" si="59"/>
        <v>6.3210227272727293E-2</v>
      </c>
      <c r="Q130" s="212">
        <f t="shared" si="42"/>
        <v>2.0613496932515338</v>
      </c>
      <c r="R130" s="196">
        <f t="shared" si="60"/>
        <v>4.2518383449357113E-4</v>
      </c>
      <c r="S130" s="195">
        <v>812</v>
      </c>
      <c r="T130" s="195">
        <v>1357</v>
      </c>
      <c r="U130" s="195">
        <v>1836</v>
      </c>
      <c r="V130" s="195">
        <v>1934</v>
      </c>
      <c r="W130" s="195">
        <v>2091</v>
      </c>
      <c r="X130" s="196">
        <f t="shared" si="61"/>
        <v>8.1178903826266913E-2</v>
      </c>
      <c r="Y130" s="212">
        <f t="shared" si="43"/>
        <v>1.5751231527093594</v>
      </c>
      <c r="Z130" s="196">
        <f t="shared" si="56"/>
        <v>4.8611642488375966E-4</v>
      </c>
    </row>
    <row r="131" spans="1:26" x14ac:dyDescent="0.25">
      <c r="A131" s="193" t="s">
        <v>130</v>
      </c>
      <c r="B131" s="194" t="s">
        <v>130</v>
      </c>
      <c r="C131" s="195">
        <v>186</v>
      </c>
      <c r="D131" s="195">
        <v>123</v>
      </c>
      <c r="E131" s="195">
        <v>250</v>
      </c>
      <c r="F131" s="195">
        <v>203</v>
      </c>
      <c r="G131" s="195">
        <v>235</v>
      </c>
      <c r="H131" s="196">
        <f t="shared" si="57"/>
        <v>0.1576354679802956</v>
      </c>
      <c r="I131" s="212">
        <f t="shared" si="35"/>
        <v>0.26344086021505375</v>
      </c>
      <c r="J131" s="196">
        <f t="shared" si="58"/>
        <v>3.0969544418233812E-4</v>
      </c>
      <c r="K131" s="195">
        <v>492</v>
      </c>
      <c r="L131" s="195">
        <v>432</v>
      </c>
      <c r="M131" s="195">
        <v>825</v>
      </c>
      <c r="N131" s="195">
        <v>1138</v>
      </c>
      <c r="O131" s="195">
        <v>1099</v>
      </c>
      <c r="P131" s="196">
        <f t="shared" si="59"/>
        <v>-3.4270650263620417E-2</v>
      </c>
      <c r="Q131" s="212">
        <f t="shared" si="42"/>
        <v>1.2337398373983741</v>
      </c>
      <c r="R131" s="196">
        <f t="shared" si="60"/>
        <v>3.1214230735366374E-4</v>
      </c>
      <c r="S131" s="195">
        <v>678</v>
      </c>
      <c r="T131" s="195">
        <v>555</v>
      </c>
      <c r="U131" s="195">
        <v>1075</v>
      </c>
      <c r="V131" s="195">
        <v>1341</v>
      </c>
      <c r="W131" s="195">
        <v>1334</v>
      </c>
      <c r="X131" s="196">
        <f t="shared" si="61"/>
        <v>-5.2199850857569396E-3</v>
      </c>
      <c r="Y131" s="212">
        <f t="shared" si="43"/>
        <v>0.96755162241887915</v>
      </c>
      <c r="Z131" s="196">
        <f t="shared" si="56"/>
        <v>2.8462699169392246E-4</v>
      </c>
    </row>
    <row r="132" spans="1:26" x14ac:dyDescent="0.25">
      <c r="A132" s="193" t="s">
        <v>133</v>
      </c>
      <c r="B132" s="194" t="s">
        <v>133</v>
      </c>
      <c r="C132" s="195">
        <v>210</v>
      </c>
      <c r="D132" s="195">
        <v>177</v>
      </c>
      <c r="E132" s="195">
        <v>253</v>
      </c>
      <c r="F132" s="195">
        <v>358</v>
      </c>
      <c r="G132" s="195">
        <v>378</v>
      </c>
      <c r="H132" s="196">
        <f t="shared" si="57"/>
        <v>5.5865921787709549E-2</v>
      </c>
      <c r="I132" s="212">
        <f t="shared" si="35"/>
        <v>0.8</v>
      </c>
      <c r="J132" s="196">
        <f t="shared" si="58"/>
        <v>4.9814841659967578E-4</v>
      </c>
      <c r="K132" s="195">
        <v>887</v>
      </c>
      <c r="L132" s="195">
        <v>742</v>
      </c>
      <c r="M132" s="195">
        <v>1632</v>
      </c>
      <c r="N132" s="195">
        <v>2097</v>
      </c>
      <c r="O132" s="195">
        <v>2115</v>
      </c>
      <c r="P132" s="196">
        <f t="shared" si="59"/>
        <v>8.5836909871244149E-3</v>
      </c>
      <c r="Q132" s="212">
        <f t="shared" si="42"/>
        <v>1.3844419391206313</v>
      </c>
      <c r="R132" s="196">
        <f t="shared" si="60"/>
        <v>6.0071062789171872E-4</v>
      </c>
      <c r="S132" s="195">
        <v>1097</v>
      </c>
      <c r="T132" s="195">
        <v>919</v>
      </c>
      <c r="U132" s="195">
        <v>1885</v>
      </c>
      <c r="V132" s="195">
        <v>2455</v>
      </c>
      <c r="W132" s="195">
        <v>2493</v>
      </c>
      <c r="X132" s="196">
        <f t="shared" si="61"/>
        <v>1.5478615071283119E-2</v>
      </c>
      <c r="Y132" s="212">
        <f t="shared" si="43"/>
        <v>1.2725615314494076</v>
      </c>
      <c r="Z132" s="196">
        <f t="shared" si="56"/>
        <v>4.9909012031911057E-4</v>
      </c>
    </row>
    <row r="133" spans="1:26" x14ac:dyDescent="0.25">
      <c r="A133" s="198" t="s">
        <v>147</v>
      </c>
      <c r="B133" s="199" t="s">
        <v>147</v>
      </c>
      <c r="C133" s="200">
        <f>C125-SUM(C126:C132)</f>
        <v>19407</v>
      </c>
      <c r="D133" s="200">
        <f>D125-SUM(D126:D132)</f>
        <v>22363</v>
      </c>
      <c r="E133" s="200">
        <f>E125-SUM(E126:E132)</f>
        <v>30462</v>
      </c>
      <c r="F133" s="200">
        <f>F125-SUM(F126:F132)</f>
        <v>20457</v>
      </c>
      <c r="G133" s="200">
        <f>G125-SUM(G126:G132)</f>
        <v>21316</v>
      </c>
      <c r="H133" s="201">
        <f t="shared" si="57"/>
        <v>4.199051669355236E-2</v>
      </c>
      <c r="I133" s="213">
        <f t="shared" si="35"/>
        <v>9.8366568763848194E-2</v>
      </c>
      <c r="J133" s="201">
        <f t="shared" si="58"/>
        <v>2.809135356676902E-2</v>
      </c>
      <c r="K133" s="200">
        <f>K125-SUM(K126:K132)</f>
        <v>8267</v>
      </c>
      <c r="L133" s="200">
        <f>L125-SUM(L126:L132)</f>
        <v>15390</v>
      </c>
      <c r="M133" s="200">
        <f>M125-SUM(M126:M132)</f>
        <v>26712</v>
      </c>
      <c r="N133" s="200">
        <f>N125-SUM(N126:N132)</f>
        <v>30137</v>
      </c>
      <c r="O133" s="200">
        <f>O125-SUM(O126:O132)</f>
        <v>32365</v>
      </c>
      <c r="P133" s="201">
        <f t="shared" si="59"/>
        <v>7.3929057304974011E-2</v>
      </c>
      <c r="Q133" s="213">
        <f t="shared" si="42"/>
        <v>2.9149631063263577</v>
      </c>
      <c r="R133" s="201">
        <f t="shared" si="60"/>
        <v>9.1924347383997521E-3</v>
      </c>
      <c r="S133" s="200">
        <f>S125-SUM(S126:S132)</f>
        <v>27674</v>
      </c>
      <c r="T133" s="200">
        <f>T125-SUM(T126:T132)</f>
        <v>37753</v>
      </c>
      <c r="U133" s="200">
        <f>U125-SUM(U126:U132)</f>
        <v>57174</v>
      </c>
      <c r="V133" s="200">
        <f>V125-SUM(V126:V132)</f>
        <v>50594</v>
      </c>
      <c r="W133" s="200">
        <f>W125-SUM(W126:W132)</f>
        <v>53681</v>
      </c>
      <c r="X133" s="201">
        <f t="shared" si="61"/>
        <v>6.1015140135193935E-2</v>
      </c>
      <c r="Y133" s="213">
        <f t="shared" si="43"/>
        <v>0.93976295439762958</v>
      </c>
      <c r="Z133" s="201">
        <f t="shared" si="56"/>
        <v>1.513791964940309E-2</v>
      </c>
    </row>
    <row r="134" spans="1:26" x14ac:dyDescent="0.25">
      <c r="A134" s="1"/>
      <c r="B134" s="186" t="s">
        <v>54</v>
      </c>
      <c r="C134" s="184"/>
      <c r="D134" s="184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</row>
    <row r="135" spans="1:26" x14ac:dyDescent="0.25">
      <c r="A135" s="1" t="s">
        <v>0</v>
      </c>
      <c r="B135" s="187" t="s">
        <v>70</v>
      </c>
      <c r="C135" s="209">
        <f>C136+C139</f>
        <v>0</v>
      </c>
      <c r="D135" s="209">
        <f>D136+D139</f>
        <v>29237</v>
      </c>
      <c r="E135" s="209">
        <f>E136+E139</f>
        <v>47385</v>
      </c>
      <c r="F135" s="209">
        <f>F136+F139</f>
        <v>49008</v>
      </c>
      <c r="G135" s="209">
        <f>G136+G139</f>
        <v>52595</v>
      </c>
      <c r="H135" s="210">
        <f>IFERROR(G135/F135-1,"-")</f>
        <v>7.3192131896833157E-2</v>
      </c>
      <c r="I135" s="210" t="str">
        <f t="shared" si="35"/>
        <v>-</v>
      </c>
      <c r="J135" s="210">
        <f>G135/G$9</f>
        <v>6.9312476113915208E-2</v>
      </c>
      <c r="K135" s="209">
        <f>K136+K139</f>
        <v>0</v>
      </c>
      <c r="L135" s="209">
        <f>L136+L139</f>
        <v>87353</v>
      </c>
      <c r="M135" s="209">
        <f>M136+M139</f>
        <v>163913</v>
      </c>
      <c r="N135" s="209">
        <f>N136+N139</f>
        <v>180038</v>
      </c>
      <c r="O135" s="209">
        <f>O136+O139</f>
        <v>183335</v>
      </c>
      <c r="P135" s="210">
        <f>IFERROR(O135/N135-1,"-")</f>
        <v>1.8312800630977843E-2</v>
      </c>
      <c r="Q135" s="210" t="str">
        <f t="shared" si="42"/>
        <v>-</v>
      </c>
      <c r="R135" s="210">
        <f>O135/O$9</f>
        <v>5.2071528588429436E-2</v>
      </c>
      <c r="S135" s="209">
        <f>S136+S139</f>
        <v>77095</v>
      </c>
      <c r="T135" s="209">
        <f>T136+T139</f>
        <v>116590</v>
      </c>
      <c r="U135" s="209">
        <f>U136+U139</f>
        <v>211298</v>
      </c>
      <c r="V135" s="209">
        <f>V136+V139</f>
        <v>229046</v>
      </c>
      <c r="W135" s="209">
        <f>W136+W139</f>
        <v>235930</v>
      </c>
      <c r="X135" s="210">
        <f>IFERROR(W135/V135-1,"-")</f>
        <v>3.0055098102564459E-2</v>
      </c>
      <c r="Y135" s="210">
        <f t="shared" si="43"/>
        <v>2.0602503404890071</v>
      </c>
      <c r="Z135" s="210">
        <f t="shared" ref="Z135:Z147" si="62">U135/U$9</f>
        <v>5.5945222410179005E-2</v>
      </c>
    </row>
    <row r="136" spans="1:26" x14ac:dyDescent="0.25">
      <c r="A136" s="1" t="s">
        <v>98</v>
      </c>
      <c r="B136" s="190" t="s">
        <v>99</v>
      </c>
      <c r="C136" s="191">
        <v>0</v>
      </c>
      <c r="D136" s="191">
        <v>9339</v>
      </c>
      <c r="E136" s="191">
        <v>5486</v>
      </c>
      <c r="F136" s="191">
        <v>7999</v>
      </c>
      <c r="G136" s="191">
        <v>6701</v>
      </c>
      <c r="H136" s="192">
        <f>IFERROR(G136/F136-1,"-")</f>
        <v>-0.16227028378547315</v>
      </c>
      <c r="I136" s="211" t="str">
        <f t="shared" si="35"/>
        <v>-</v>
      </c>
      <c r="J136" s="192">
        <f>G136/G$9</f>
        <v>8.8309326445355236E-3</v>
      </c>
      <c r="K136" s="191">
        <v>0</v>
      </c>
      <c r="L136" s="191">
        <v>28431</v>
      </c>
      <c r="M136" s="191">
        <v>15843</v>
      </c>
      <c r="N136" s="191">
        <v>15164</v>
      </c>
      <c r="O136" s="191">
        <v>14762</v>
      </c>
      <c r="P136" s="192">
        <f>IFERROR(O136/N136-1,"-")</f>
        <v>-2.6510155631759402E-2</v>
      </c>
      <c r="Q136" s="211" t="str">
        <f t="shared" si="42"/>
        <v>-</v>
      </c>
      <c r="R136" s="192">
        <f>O136/O$9</f>
        <v>4.1927613659279205E-3</v>
      </c>
      <c r="S136" s="191">
        <v>22432</v>
      </c>
      <c r="T136" s="191">
        <v>37770</v>
      </c>
      <c r="U136" s="191">
        <v>21329</v>
      </c>
      <c r="V136" s="191">
        <v>23163</v>
      </c>
      <c r="W136" s="191">
        <v>21463</v>
      </c>
      <c r="X136" s="192">
        <f>IFERROR(W136/V136-1,"-")</f>
        <v>-7.3392911108232983E-2</v>
      </c>
      <c r="Y136" s="211">
        <f t="shared" si="43"/>
        <v>-4.3197218259629078E-2</v>
      </c>
      <c r="Z136" s="192">
        <f t="shared" si="62"/>
        <v>5.6472642845020208E-3</v>
      </c>
    </row>
    <row r="137" spans="1:26" x14ac:dyDescent="0.25">
      <c r="A137" s="193" t="s">
        <v>105</v>
      </c>
      <c r="B137" s="194" t="s">
        <v>105</v>
      </c>
      <c r="C137" s="195">
        <v>0</v>
      </c>
      <c r="D137" s="195">
        <v>9339</v>
      </c>
      <c r="E137" s="195">
        <v>5415</v>
      </c>
      <c r="F137" s="195">
        <v>7999</v>
      </c>
      <c r="G137" s="195">
        <v>6701</v>
      </c>
      <c r="H137" s="196">
        <f>IFERROR(G137/F137-1,"-")</f>
        <v>-0.16227028378547315</v>
      </c>
      <c r="I137" s="212" t="str">
        <f t="shared" si="35"/>
        <v>-</v>
      </c>
      <c r="J137" s="196">
        <f>G137/G$9</f>
        <v>8.8309326445355236E-3</v>
      </c>
      <c r="K137" s="195">
        <v>0</v>
      </c>
      <c r="L137" s="195">
        <v>20185</v>
      </c>
      <c r="M137" s="195">
        <v>9264</v>
      </c>
      <c r="N137" s="195">
        <v>6639</v>
      </c>
      <c r="O137" s="195">
        <v>6321</v>
      </c>
      <c r="P137" s="196">
        <f>IFERROR(O137/N137-1,"-")</f>
        <v>-4.7898779936737412E-2</v>
      </c>
      <c r="Q137" s="212" t="str">
        <f t="shared" si="42"/>
        <v>-</v>
      </c>
      <c r="R137" s="196">
        <f>O137/O$9</f>
        <v>1.7953153091742572E-3</v>
      </c>
      <c r="S137" s="195">
        <v>16366</v>
      </c>
      <c r="T137" s="195">
        <v>29524</v>
      </c>
      <c r="U137" s="195">
        <v>14679</v>
      </c>
      <c r="V137" s="195">
        <v>14638</v>
      </c>
      <c r="W137" s="195">
        <v>13022</v>
      </c>
      <c r="X137" s="196">
        <f>IFERROR(W137/V137-1,"-")</f>
        <v>-0.11039759529990434</v>
      </c>
      <c r="Y137" s="212">
        <f t="shared" si="43"/>
        <v>-0.20432604179396308</v>
      </c>
      <c r="Z137" s="196">
        <f t="shared" si="62"/>
        <v>3.8865484754186863E-3</v>
      </c>
    </row>
    <row r="138" spans="1:26" x14ac:dyDescent="0.25">
      <c r="A138" s="193" t="s">
        <v>102</v>
      </c>
      <c r="B138" s="194" t="s">
        <v>102</v>
      </c>
      <c r="C138" s="195">
        <v>0</v>
      </c>
      <c r="D138" s="195">
        <v>0</v>
      </c>
      <c r="E138" s="195">
        <v>71</v>
      </c>
      <c r="F138" s="195">
        <v>0</v>
      </c>
      <c r="G138" s="195">
        <v>0</v>
      </c>
      <c r="H138" s="196" t="str">
        <f>IFERROR(G138/F138-1,"-")</f>
        <v>-</v>
      </c>
      <c r="I138" s="212" t="str">
        <f t="shared" ref="I138:I161" si="63">IFERROR(G138/C138-1,"-")</f>
        <v>-</v>
      </c>
      <c r="J138" s="196">
        <f>G138/G$9</f>
        <v>0</v>
      </c>
      <c r="K138" s="195">
        <v>0</v>
      </c>
      <c r="L138" s="195">
        <v>8246</v>
      </c>
      <c r="M138" s="195">
        <v>6579</v>
      </c>
      <c r="N138" s="195">
        <v>8525</v>
      </c>
      <c r="O138" s="195">
        <v>8441</v>
      </c>
      <c r="P138" s="196">
        <f>IFERROR(O138/N138-1,"-")</f>
        <v>-9.8533724340176265E-3</v>
      </c>
      <c r="Q138" s="212" t="str">
        <f t="shared" si="42"/>
        <v>-</v>
      </c>
      <c r="R138" s="196">
        <f>O138/O$9</f>
        <v>2.3974460567536631E-3</v>
      </c>
      <c r="S138" s="195">
        <v>6066</v>
      </c>
      <c r="T138" s="195">
        <v>8246</v>
      </c>
      <c r="U138" s="195">
        <v>6650</v>
      </c>
      <c r="V138" s="195">
        <v>8525</v>
      </c>
      <c r="W138" s="195">
        <v>8441</v>
      </c>
      <c r="X138" s="196">
        <f>IFERROR(W138/V138-1,"-")</f>
        <v>-9.8533724340176265E-3</v>
      </c>
      <c r="Y138" s="212">
        <f t="shared" si="43"/>
        <v>0.39152654137817344</v>
      </c>
      <c r="Z138" s="196">
        <f t="shared" si="62"/>
        <v>1.7607158090833343E-3</v>
      </c>
    </row>
    <row r="139" spans="1:26" x14ac:dyDescent="0.25">
      <c r="A139" s="1" t="s">
        <v>148</v>
      </c>
      <c r="B139" s="190" t="s">
        <v>109</v>
      </c>
      <c r="C139" s="191">
        <v>0</v>
      </c>
      <c r="D139" s="191">
        <v>19898</v>
      </c>
      <c r="E139" s="191">
        <v>41899</v>
      </c>
      <c r="F139" s="191">
        <v>41009</v>
      </c>
      <c r="G139" s="191">
        <v>45894</v>
      </c>
      <c r="H139" s="192">
        <f>IFERROR(G139/F139-1,"-")</f>
        <v>0.11912019312833766</v>
      </c>
      <c r="I139" s="211" t="str">
        <f t="shared" si="63"/>
        <v>-</v>
      </c>
      <c r="J139" s="192">
        <f>G139/G$9</f>
        <v>6.0481543469379687E-2</v>
      </c>
      <c r="K139" s="191">
        <v>0</v>
      </c>
      <c r="L139" s="191">
        <v>58922</v>
      </c>
      <c r="M139" s="191">
        <v>148070</v>
      </c>
      <c r="N139" s="191">
        <v>164874</v>
      </c>
      <c r="O139" s="191">
        <v>168573</v>
      </c>
      <c r="P139" s="192">
        <f>IFERROR(O139/N139-1,"-")</f>
        <v>2.2435314239965143E-2</v>
      </c>
      <c r="Q139" s="211" t="str">
        <f t="shared" si="42"/>
        <v>-</v>
      </c>
      <c r="R139" s="192">
        <f>O139/O$9</f>
        <v>4.7878767222501513E-2</v>
      </c>
      <c r="S139" s="191">
        <v>54663</v>
      </c>
      <c r="T139" s="191">
        <v>78820</v>
      </c>
      <c r="U139" s="191">
        <v>189969</v>
      </c>
      <c r="V139" s="191">
        <v>205883</v>
      </c>
      <c r="W139" s="191">
        <v>214467</v>
      </c>
      <c r="X139" s="192">
        <f>IFERROR(W139/V139-1,"-")</f>
        <v>4.1693583248738397E-2</v>
      </c>
      <c r="Y139" s="211">
        <f t="shared" si="43"/>
        <v>2.9234399868283849</v>
      </c>
      <c r="Z139" s="192">
        <f t="shared" si="62"/>
        <v>5.0297958125676979E-2</v>
      </c>
    </row>
    <row r="140" spans="1:26" x14ac:dyDescent="0.25">
      <c r="A140" s="193" t="s">
        <v>112</v>
      </c>
      <c r="B140" s="194" t="s">
        <v>112</v>
      </c>
      <c r="C140" s="195">
        <v>0</v>
      </c>
      <c r="D140" s="195">
        <v>8616</v>
      </c>
      <c r="E140" s="195">
        <v>22074</v>
      </c>
      <c r="F140" s="195">
        <v>20929</v>
      </c>
      <c r="G140" s="195">
        <v>26456</v>
      </c>
      <c r="H140" s="196">
        <f t="shared" ref="H140:H147" si="64">IFERROR(G140/F140-1,"-")</f>
        <v>0.26408332935161738</v>
      </c>
      <c r="I140" s="212" t="str">
        <f t="shared" si="63"/>
        <v>-</v>
      </c>
      <c r="J140" s="196">
        <f t="shared" ref="J140:J147" si="65">G140/G$9</f>
        <v>3.4865117750161434E-2</v>
      </c>
      <c r="K140" s="195">
        <v>0</v>
      </c>
      <c r="L140" s="195">
        <v>13586</v>
      </c>
      <c r="M140" s="195">
        <v>60071</v>
      </c>
      <c r="N140" s="195">
        <v>68669</v>
      </c>
      <c r="O140" s="195">
        <v>70810</v>
      </c>
      <c r="P140" s="196">
        <f t="shared" ref="P140:P147" si="66">IFERROR(O140/N140-1,"-")</f>
        <v>3.1178552185120001E-2</v>
      </c>
      <c r="Q140" s="212" t="str">
        <f t="shared" si="42"/>
        <v>-</v>
      </c>
      <c r="R140" s="196">
        <f t="shared" ref="R140:R147" si="67">O140/O$9</f>
        <v>2.0111735017027236E-2</v>
      </c>
      <c r="S140" s="195">
        <v>18862</v>
      </c>
      <c r="T140" s="195">
        <v>22202</v>
      </c>
      <c r="U140" s="195">
        <v>82145</v>
      </c>
      <c r="V140" s="195">
        <v>89598</v>
      </c>
      <c r="W140" s="195">
        <v>97266</v>
      </c>
      <c r="X140" s="196">
        <f t="shared" ref="X140:X147" si="68">IFERROR(W140/V140-1,"-")</f>
        <v>8.5582267461327355E-2</v>
      </c>
      <c r="Y140" s="212">
        <f t="shared" si="43"/>
        <v>4.1567172092036904</v>
      </c>
      <c r="Z140" s="196">
        <f t="shared" si="62"/>
        <v>2.1749473704834661E-2</v>
      </c>
    </row>
    <row r="141" spans="1:26" x14ac:dyDescent="0.25">
      <c r="A141" s="193" t="s">
        <v>115</v>
      </c>
      <c r="B141" s="194" t="s">
        <v>115</v>
      </c>
      <c r="C141" s="195">
        <v>0</v>
      </c>
      <c r="D141" s="195">
        <v>1411</v>
      </c>
      <c r="E141" s="195">
        <v>1553</v>
      </c>
      <c r="F141" s="195">
        <v>1880</v>
      </c>
      <c r="G141" s="195">
        <v>1664</v>
      </c>
      <c r="H141" s="196">
        <f t="shared" si="64"/>
        <v>-0.11489361702127665</v>
      </c>
      <c r="I141" s="212" t="str">
        <f t="shared" si="63"/>
        <v>-</v>
      </c>
      <c r="J141" s="196">
        <f t="shared" si="65"/>
        <v>2.1929073154017473E-3</v>
      </c>
      <c r="K141" s="195">
        <v>0</v>
      </c>
      <c r="L141" s="195">
        <v>6291</v>
      </c>
      <c r="M141" s="195">
        <v>11965</v>
      </c>
      <c r="N141" s="195">
        <v>16181</v>
      </c>
      <c r="O141" s="195">
        <v>16944</v>
      </c>
      <c r="P141" s="196">
        <f t="shared" si="66"/>
        <v>4.7154069587788117E-2</v>
      </c>
      <c r="Q141" s="212" t="str">
        <f t="shared" si="42"/>
        <v>-</v>
      </c>
      <c r="R141" s="196">
        <f t="shared" si="67"/>
        <v>4.8125015976346486E-3</v>
      </c>
      <c r="S141" s="195">
        <v>5188</v>
      </c>
      <c r="T141" s="195">
        <v>7702</v>
      </c>
      <c r="U141" s="195">
        <v>13518</v>
      </c>
      <c r="V141" s="195">
        <v>18061</v>
      </c>
      <c r="W141" s="195">
        <v>18608</v>
      </c>
      <c r="X141" s="196">
        <f t="shared" si="68"/>
        <v>3.0286252145506953E-2</v>
      </c>
      <c r="Y141" s="212">
        <f t="shared" si="43"/>
        <v>2.5867386276021587</v>
      </c>
      <c r="Z141" s="196">
        <f t="shared" si="62"/>
        <v>3.5791513243892499E-3</v>
      </c>
    </row>
    <row r="142" spans="1:26" x14ac:dyDescent="0.25">
      <c r="A142" s="193" t="s">
        <v>118</v>
      </c>
      <c r="B142" s="194" t="s">
        <v>118</v>
      </c>
      <c r="C142" s="195">
        <v>0</v>
      </c>
      <c r="D142" s="195">
        <v>2188</v>
      </c>
      <c r="E142" s="195">
        <v>5813</v>
      </c>
      <c r="F142" s="195">
        <v>5043</v>
      </c>
      <c r="G142" s="195">
        <v>5027</v>
      </c>
      <c r="H142" s="196">
        <f t="shared" si="64"/>
        <v>-3.1727146539758388E-3</v>
      </c>
      <c r="I142" s="212" t="str">
        <f t="shared" si="63"/>
        <v>-</v>
      </c>
      <c r="J142" s="196">
        <f t="shared" si="65"/>
        <v>6.6248467995941012E-3</v>
      </c>
      <c r="K142" s="195">
        <v>0</v>
      </c>
      <c r="L142" s="195">
        <v>10850</v>
      </c>
      <c r="M142" s="195">
        <v>17158</v>
      </c>
      <c r="N142" s="195">
        <v>15976</v>
      </c>
      <c r="O142" s="195">
        <v>15484</v>
      </c>
      <c r="P142" s="196">
        <f t="shared" si="66"/>
        <v>-3.0796194291437207E-2</v>
      </c>
      <c r="Q142" s="212" t="str">
        <f t="shared" si="42"/>
        <v>-</v>
      </c>
      <c r="R142" s="196">
        <f t="shared" si="67"/>
        <v>4.3978266488299634E-3</v>
      </c>
      <c r="S142" s="195">
        <v>5864</v>
      </c>
      <c r="T142" s="195">
        <v>13038</v>
      </c>
      <c r="U142" s="195">
        <v>22971</v>
      </c>
      <c r="V142" s="195">
        <v>21019</v>
      </c>
      <c r="W142" s="195">
        <v>20511</v>
      </c>
      <c r="X142" s="196">
        <f t="shared" si="68"/>
        <v>-2.4168609353442116E-2</v>
      </c>
      <c r="Y142" s="212">
        <f t="shared" si="43"/>
        <v>2.4977830832196455</v>
      </c>
      <c r="Z142" s="196">
        <f t="shared" si="62"/>
        <v>6.0820154662335748E-3</v>
      </c>
    </row>
    <row r="143" spans="1:26" x14ac:dyDescent="0.25">
      <c r="A143" s="193" t="s">
        <v>125</v>
      </c>
      <c r="B143" s="194" t="s">
        <v>125</v>
      </c>
      <c r="C143" s="195">
        <v>0</v>
      </c>
      <c r="D143" s="195">
        <v>2549</v>
      </c>
      <c r="E143" s="195">
        <v>4370</v>
      </c>
      <c r="F143" s="195">
        <v>3569</v>
      </c>
      <c r="G143" s="195">
        <v>2063</v>
      </c>
      <c r="H143" s="196">
        <f t="shared" si="64"/>
        <v>-0.42196693751751191</v>
      </c>
      <c r="I143" s="212" t="str">
        <f t="shared" si="63"/>
        <v>-</v>
      </c>
      <c r="J143" s="196">
        <f t="shared" si="65"/>
        <v>2.7187306440347387E-3</v>
      </c>
      <c r="K143" s="195">
        <v>0</v>
      </c>
      <c r="L143" s="195">
        <v>1210</v>
      </c>
      <c r="M143" s="195">
        <v>3896</v>
      </c>
      <c r="N143" s="195">
        <v>3738</v>
      </c>
      <c r="O143" s="195">
        <v>3046</v>
      </c>
      <c r="P143" s="196">
        <f t="shared" si="66"/>
        <v>-0.18512573568753343</v>
      </c>
      <c r="Q143" s="212" t="str">
        <f t="shared" si="42"/>
        <v>-</v>
      </c>
      <c r="R143" s="196">
        <f t="shared" si="67"/>
        <v>8.6513691373908989E-4</v>
      </c>
      <c r="S143" s="195">
        <v>782</v>
      </c>
      <c r="T143" s="195">
        <v>3759</v>
      </c>
      <c r="U143" s="195">
        <v>8266</v>
      </c>
      <c r="V143" s="195">
        <v>7307</v>
      </c>
      <c r="W143" s="195">
        <v>5109</v>
      </c>
      <c r="X143" s="196">
        <f t="shared" si="68"/>
        <v>-0.30080744491583411</v>
      </c>
      <c r="Y143" s="212">
        <f t="shared" si="43"/>
        <v>5.5332480818414318</v>
      </c>
      <c r="Z143" s="196">
        <f t="shared" si="62"/>
        <v>2.1885829891553146E-3</v>
      </c>
    </row>
    <row r="144" spans="1:26" x14ac:dyDescent="0.25">
      <c r="A144" s="193" t="s">
        <v>121</v>
      </c>
      <c r="B144" s="194" t="s">
        <v>121</v>
      </c>
      <c r="C144" s="195">
        <v>0</v>
      </c>
      <c r="D144" s="195">
        <v>902</v>
      </c>
      <c r="E144" s="195">
        <v>435</v>
      </c>
      <c r="F144" s="195">
        <v>1205</v>
      </c>
      <c r="G144" s="195">
        <v>791</v>
      </c>
      <c r="H144" s="196">
        <f t="shared" si="64"/>
        <v>-0.34356846473029046</v>
      </c>
      <c r="I144" s="212" t="str">
        <f t="shared" si="63"/>
        <v>-</v>
      </c>
      <c r="J144" s="196">
        <f t="shared" si="65"/>
        <v>1.0424216865882105E-3</v>
      </c>
      <c r="K144" s="195">
        <v>0</v>
      </c>
      <c r="L144" s="195">
        <v>1918</v>
      </c>
      <c r="M144" s="195">
        <v>3253</v>
      </c>
      <c r="N144" s="195">
        <v>3495</v>
      </c>
      <c r="O144" s="195">
        <v>3931</v>
      </c>
      <c r="P144" s="196">
        <f t="shared" si="66"/>
        <v>0.12474964234620889</v>
      </c>
      <c r="Q144" s="212" t="str">
        <f t="shared" si="42"/>
        <v>-</v>
      </c>
      <c r="R144" s="196">
        <f t="shared" si="67"/>
        <v>1.1164980984597382E-3</v>
      </c>
      <c r="S144" s="195">
        <v>1676</v>
      </c>
      <c r="T144" s="195">
        <v>2820</v>
      </c>
      <c r="U144" s="195">
        <v>3688</v>
      </c>
      <c r="V144" s="195">
        <v>4700</v>
      </c>
      <c r="W144" s="195">
        <v>4722</v>
      </c>
      <c r="X144" s="196">
        <f t="shared" si="68"/>
        <v>4.6808510638298717E-3</v>
      </c>
      <c r="Y144" s="212">
        <f t="shared" si="43"/>
        <v>1.8174224343675416</v>
      </c>
      <c r="Z144" s="196">
        <f t="shared" si="62"/>
        <v>9.7646915848110323E-4</v>
      </c>
    </row>
    <row r="145" spans="1:26" x14ac:dyDescent="0.25">
      <c r="A145" s="193" t="s">
        <v>130</v>
      </c>
      <c r="B145" s="194" t="s">
        <v>130</v>
      </c>
      <c r="C145" s="195">
        <v>0</v>
      </c>
      <c r="D145" s="195">
        <v>93</v>
      </c>
      <c r="E145" s="195">
        <v>79</v>
      </c>
      <c r="F145" s="195">
        <v>139</v>
      </c>
      <c r="G145" s="195">
        <v>6</v>
      </c>
      <c r="H145" s="196">
        <f t="shared" si="64"/>
        <v>-0.95683453237410077</v>
      </c>
      <c r="I145" s="212" t="str">
        <f t="shared" si="63"/>
        <v>-</v>
      </c>
      <c r="J145" s="196">
        <f t="shared" si="65"/>
        <v>7.9071177238043773E-6</v>
      </c>
      <c r="K145" s="195">
        <v>0</v>
      </c>
      <c r="L145" s="195">
        <v>1104</v>
      </c>
      <c r="M145" s="195">
        <v>2826</v>
      </c>
      <c r="N145" s="195">
        <v>3106</v>
      </c>
      <c r="O145" s="195">
        <v>3058</v>
      </c>
      <c r="P145" s="196">
        <f t="shared" si="66"/>
        <v>-1.5453960077269846E-2</v>
      </c>
      <c r="Q145" s="212" t="str">
        <f t="shared" si="42"/>
        <v>-</v>
      </c>
      <c r="R145" s="196">
        <f t="shared" si="67"/>
        <v>8.6854520098953944E-4</v>
      </c>
      <c r="S145" s="195">
        <v>1597</v>
      </c>
      <c r="T145" s="195">
        <v>1197</v>
      </c>
      <c r="U145" s="195">
        <v>2905</v>
      </c>
      <c r="V145" s="195">
        <v>3245</v>
      </c>
      <c r="W145" s="195">
        <v>3064</v>
      </c>
      <c r="X145" s="196">
        <f t="shared" si="68"/>
        <v>-5.5778120184899804E-2</v>
      </c>
      <c r="Y145" s="212">
        <f t="shared" si="43"/>
        <v>0.9185973700688792</v>
      </c>
      <c r="Z145" s="196">
        <f t="shared" si="62"/>
        <v>7.6915480081008814E-4</v>
      </c>
    </row>
    <row r="146" spans="1:26" x14ac:dyDescent="0.25">
      <c r="A146" s="193" t="s">
        <v>133</v>
      </c>
      <c r="B146" s="194" t="s">
        <v>133</v>
      </c>
      <c r="C146" s="195">
        <v>0</v>
      </c>
      <c r="D146" s="195">
        <v>75</v>
      </c>
      <c r="E146" s="195">
        <v>49</v>
      </c>
      <c r="F146" s="195">
        <v>93</v>
      </c>
      <c r="G146" s="195">
        <v>54</v>
      </c>
      <c r="H146" s="196">
        <f t="shared" si="64"/>
        <v>-0.41935483870967738</v>
      </c>
      <c r="I146" s="212" t="str">
        <f t="shared" si="63"/>
        <v>-</v>
      </c>
      <c r="J146" s="196">
        <f t="shared" si="65"/>
        <v>7.1164059514239401E-5</v>
      </c>
      <c r="K146" s="195">
        <v>0</v>
      </c>
      <c r="L146" s="195">
        <v>715</v>
      </c>
      <c r="M146" s="195">
        <v>1637</v>
      </c>
      <c r="N146" s="195">
        <v>2212</v>
      </c>
      <c r="O146" s="195">
        <v>1992</v>
      </c>
      <c r="P146" s="196">
        <f t="shared" si="66"/>
        <v>-9.9457504520795714E-2</v>
      </c>
      <c r="Q146" s="212" t="str">
        <f t="shared" si="42"/>
        <v>-</v>
      </c>
      <c r="R146" s="196">
        <f t="shared" si="67"/>
        <v>5.6577568357461165E-4</v>
      </c>
      <c r="S146" s="195">
        <v>3384</v>
      </c>
      <c r="T146" s="195">
        <v>790</v>
      </c>
      <c r="U146" s="195">
        <v>1686</v>
      </c>
      <c r="V146" s="195">
        <v>2305</v>
      </c>
      <c r="W146" s="195">
        <v>2046</v>
      </c>
      <c r="X146" s="196">
        <f t="shared" si="68"/>
        <v>-0.11236442516268985</v>
      </c>
      <c r="Y146" s="212">
        <f t="shared" si="43"/>
        <v>-0.39539007092198586</v>
      </c>
      <c r="Z146" s="196">
        <f t="shared" si="62"/>
        <v>4.4640103069391E-4</v>
      </c>
    </row>
    <row r="147" spans="1:26" x14ac:dyDescent="0.25">
      <c r="A147" s="198" t="s">
        <v>147</v>
      </c>
      <c r="B147" s="199" t="s">
        <v>147</v>
      </c>
      <c r="C147" s="200">
        <f>C139-SUM(C140:C146)</f>
        <v>0</v>
      </c>
      <c r="D147" s="200">
        <f>D139-SUM(D140:D146)</f>
        <v>4064</v>
      </c>
      <c r="E147" s="200">
        <f>E139-SUM(E140:E146)</f>
        <v>7526</v>
      </c>
      <c r="F147" s="200">
        <f>F139-SUM(F140:F146)</f>
        <v>8151</v>
      </c>
      <c r="G147" s="200">
        <f>G139-SUM(G140:G146)</f>
        <v>9833</v>
      </c>
      <c r="H147" s="201">
        <f t="shared" si="64"/>
        <v>0.20635504846031161</v>
      </c>
      <c r="I147" s="213" t="str">
        <f t="shared" si="63"/>
        <v>-</v>
      </c>
      <c r="J147" s="201">
        <f t="shared" si="65"/>
        <v>1.2958448096361408E-2</v>
      </c>
      <c r="K147" s="200">
        <f>K139-SUM(K140:K146)</f>
        <v>0</v>
      </c>
      <c r="L147" s="200">
        <f>L139-SUM(L140:L146)</f>
        <v>23248</v>
      </c>
      <c r="M147" s="200">
        <f>M139-SUM(M140:M146)</f>
        <v>47264</v>
      </c>
      <c r="N147" s="200">
        <f>N139-SUM(N140:N146)</f>
        <v>51497</v>
      </c>
      <c r="O147" s="200">
        <f>O139-SUM(O140:O146)</f>
        <v>53308</v>
      </c>
      <c r="P147" s="201">
        <f t="shared" si="66"/>
        <v>3.5167097112453138E-2</v>
      </c>
      <c r="Q147" s="213" t="str">
        <f t="shared" si="42"/>
        <v>-</v>
      </c>
      <c r="R147" s="201">
        <f t="shared" si="67"/>
        <v>1.5140748062246686E-2</v>
      </c>
      <c r="S147" s="200">
        <f>S139-SUM(S140:S146)</f>
        <v>17310</v>
      </c>
      <c r="T147" s="200">
        <f>T139-SUM(T140:T146)</f>
        <v>27312</v>
      </c>
      <c r="U147" s="200">
        <f>U139-SUM(U140:U146)</f>
        <v>54790</v>
      </c>
      <c r="V147" s="200">
        <f>V139-SUM(V140:V146)</f>
        <v>59648</v>
      </c>
      <c r="W147" s="200">
        <f>W139-SUM(W140:W146)</f>
        <v>63141</v>
      </c>
      <c r="X147" s="201">
        <f t="shared" si="68"/>
        <v>5.8560219957081605E-2</v>
      </c>
      <c r="Y147" s="213">
        <f t="shared" si="43"/>
        <v>2.6476603119584055</v>
      </c>
      <c r="Z147" s="201">
        <f t="shared" si="62"/>
        <v>1.4506709651079081E-2</v>
      </c>
    </row>
    <row r="148" spans="1:26" x14ac:dyDescent="0.25">
      <c r="A148" s="1"/>
      <c r="B148" s="186" t="s">
        <v>55</v>
      </c>
      <c r="C148" s="184"/>
      <c r="D148" s="184"/>
      <c r="E148" s="184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</row>
    <row r="149" spans="1:26" x14ac:dyDescent="0.25">
      <c r="A149" s="1" t="s">
        <v>0</v>
      </c>
      <c r="B149" s="187" t="s">
        <v>70</v>
      </c>
      <c r="C149" s="209">
        <f>C150+C153</f>
        <v>11846</v>
      </c>
      <c r="D149" s="209">
        <f>D150+D153</f>
        <v>15189</v>
      </c>
      <c r="E149" s="209">
        <f>E150+E153</f>
        <v>30370</v>
      </c>
      <c r="F149" s="209">
        <f>F150+F153</f>
        <v>30695</v>
      </c>
      <c r="G149" s="209">
        <f>G150+G153</f>
        <v>35796</v>
      </c>
      <c r="H149" s="210">
        <f>IFERROR(G149/F149-1,"-")</f>
        <v>0.16618341749470589</v>
      </c>
      <c r="I149" s="210">
        <f t="shared" si="63"/>
        <v>2.0217795036299173</v>
      </c>
      <c r="J149" s="210">
        <f>G149/G$9</f>
        <v>4.717386434021692E-2</v>
      </c>
      <c r="K149" s="209">
        <f>K150+K153</f>
        <v>30203</v>
      </c>
      <c r="L149" s="209">
        <f>L150+L153</f>
        <v>55599</v>
      </c>
      <c r="M149" s="209">
        <f>M150+M153</f>
        <v>77698</v>
      </c>
      <c r="N149" s="209">
        <f>N150+N153</f>
        <v>83047</v>
      </c>
      <c r="O149" s="209">
        <f>O150+O153</f>
        <v>81300</v>
      </c>
      <c r="P149" s="210">
        <f>IFERROR(O149/N149-1,"-")</f>
        <v>-2.1036280660348905E-2</v>
      </c>
      <c r="Q149" s="210">
        <f t="shared" si="42"/>
        <v>1.6917855842134886</v>
      </c>
      <c r="R149" s="210">
        <f>O149/O$9</f>
        <v>2.3091146121795143E-2</v>
      </c>
      <c r="S149" s="209">
        <f>S150+S153</f>
        <v>42049</v>
      </c>
      <c r="T149" s="209">
        <f>T150+T153</f>
        <v>70788</v>
      </c>
      <c r="U149" s="209">
        <f>U150+U153</f>
        <v>108068</v>
      </c>
      <c r="V149" s="209">
        <f>V150+V153</f>
        <v>113742</v>
      </c>
      <c r="W149" s="209">
        <f>W150+W153</f>
        <v>117096</v>
      </c>
      <c r="X149" s="210">
        <f>IFERROR(W149/V149-1,"-")</f>
        <v>2.948778815213382E-2</v>
      </c>
      <c r="Y149" s="210">
        <f t="shared" si="43"/>
        <v>1.7847511236890297</v>
      </c>
      <c r="Z149" s="210">
        <f t="shared" ref="Z149:Z161" si="69">U149/U$9</f>
        <v>2.8613088128724477E-2</v>
      </c>
    </row>
    <row r="150" spans="1:26" x14ac:dyDescent="0.25">
      <c r="A150" s="1" t="s">
        <v>98</v>
      </c>
      <c r="B150" s="190" t="s">
        <v>99</v>
      </c>
      <c r="C150" s="191">
        <v>8198</v>
      </c>
      <c r="D150" s="191">
        <v>8139</v>
      </c>
      <c r="E150" s="191">
        <v>18008</v>
      </c>
      <c r="F150" s="191">
        <v>17683</v>
      </c>
      <c r="G150" s="191">
        <v>18511</v>
      </c>
      <c r="H150" s="192">
        <f>IFERROR(G150/F150-1,"-")</f>
        <v>4.6824633829101403E-2</v>
      </c>
      <c r="I150" s="211">
        <f t="shared" si="63"/>
        <v>1.2579897535984386</v>
      </c>
      <c r="J150" s="192">
        <f>G150/G$9</f>
        <v>2.4394776030890474E-2</v>
      </c>
      <c r="K150" s="191">
        <v>13645</v>
      </c>
      <c r="L150" s="191">
        <v>31999</v>
      </c>
      <c r="M150" s="191">
        <v>38624</v>
      </c>
      <c r="N150" s="191">
        <v>38986</v>
      </c>
      <c r="O150" s="191">
        <v>34388</v>
      </c>
      <c r="P150" s="192">
        <f>IFERROR(O150/N150-1,"-")</f>
        <v>-0.11793977325193661</v>
      </c>
      <c r="Q150" s="211">
        <f t="shared" si="42"/>
        <v>1.5201905459875413</v>
      </c>
      <c r="R150" s="192">
        <f>O150/O$9</f>
        <v>9.7670151640380249E-3</v>
      </c>
      <c r="S150" s="191">
        <v>21843</v>
      </c>
      <c r="T150" s="191">
        <v>40138</v>
      </c>
      <c r="U150" s="191">
        <v>56632</v>
      </c>
      <c r="V150" s="191">
        <v>56669</v>
      </c>
      <c r="W150" s="191">
        <v>52899</v>
      </c>
      <c r="X150" s="192">
        <f>IFERROR(W150/V150-1,"-")</f>
        <v>-6.6526672431135192E-2</v>
      </c>
      <c r="Y150" s="211">
        <f t="shared" si="43"/>
        <v>1.4217827221535502</v>
      </c>
      <c r="Z150" s="192">
        <f t="shared" si="69"/>
        <v>1.4994414691730434E-2</v>
      </c>
    </row>
    <row r="151" spans="1:26" x14ac:dyDescent="0.25">
      <c r="A151" s="193" t="s">
        <v>105</v>
      </c>
      <c r="B151" s="194" t="s">
        <v>105</v>
      </c>
      <c r="C151" s="195">
        <v>3239</v>
      </c>
      <c r="D151" s="195">
        <v>4159</v>
      </c>
      <c r="E151" s="195">
        <v>6621</v>
      </c>
      <c r="F151" s="195">
        <v>5819</v>
      </c>
      <c r="G151" s="195">
        <v>5597</v>
      </c>
      <c r="H151" s="196">
        <f>IFERROR(G151/F151-1,"-")</f>
        <v>-3.8150885031792425E-2</v>
      </c>
      <c r="I151" s="212">
        <f t="shared" si="63"/>
        <v>0.72800246989811668</v>
      </c>
      <c r="J151" s="196">
        <f>G151/G$9</f>
        <v>7.3760229833555171E-3</v>
      </c>
      <c r="K151" s="195">
        <v>11144</v>
      </c>
      <c r="L151" s="195">
        <v>28141</v>
      </c>
      <c r="M151" s="195">
        <v>34603</v>
      </c>
      <c r="N151" s="195">
        <v>36698</v>
      </c>
      <c r="O151" s="195">
        <v>31174</v>
      </c>
      <c r="P151" s="196">
        <f>IFERROR(O151/N151-1,"-")</f>
        <v>-0.15052591421875849</v>
      </c>
      <c r="Q151" s="212">
        <f t="shared" ref="Q151:Q161" si="70">IFERROR(O151/K151-1,"-")</f>
        <v>1.7973797559224693</v>
      </c>
      <c r="R151" s="196">
        <f>O151/O$9</f>
        <v>8.8541622287926433E-3</v>
      </c>
      <c r="S151" s="195">
        <v>14383</v>
      </c>
      <c r="T151" s="195">
        <v>32300</v>
      </c>
      <c r="U151" s="195">
        <v>41224</v>
      </c>
      <c r="V151" s="195">
        <v>42517</v>
      </c>
      <c r="W151" s="195">
        <v>36771</v>
      </c>
      <c r="X151" s="196">
        <f>IFERROR(W151/V151-1,"-")</f>
        <v>-0.1351459416233507</v>
      </c>
      <c r="Y151" s="212">
        <f t="shared" ref="Y151:Y161" si="71">IFERROR(W151/S151-1,"-")</f>
        <v>1.5565598275742194</v>
      </c>
      <c r="Z151" s="196">
        <f t="shared" si="69"/>
        <v>1.0914849400549079E-2</v>
      </c>
    </row>
    <row r="152" spans="1:26" x14ac:dyDescent="0.25">
      <c r="A152" s="193" t="s">
        <v>102</v>
      </c>
      <c r="B152" s="194" t="s">
        <v>102</v>
      </c>
      <c r="C152" s="195">
        <v>4959</v>
      </c>
      <c r="D152" s="195">
        <v>3980</v>
      </c>
      <c r="E152" s="195">
        <v>11387</v>
      </c>
      <c r="F152" s="195">
        <v>11864</v>
      </c>
      <c r="G152" s="195">
        <v>12914</v>
      </c>
      <c r="H152" s="196">
        <f>IFERROR(G152/F152-1,"-")</f>
        <v>8.8503034389750601E-2</v>
      </c>
      <c r="I152" s="212">
        <f t="shared" si="63"/>
        <v>1.6041540633192177</v>
      </c>
      <c r="J152" s="196">
        <f>G152/G$9</f>
        <v>1.7018753047534956E-2</v>
      </c>
      <c r="K152" s="195">
        <v>2501</v>
      </c>
      <c r="L152" s="195">
        <v>3858</v>
      </c>
      <c r="M152" s="195">
        <v>4021</v>
      </c>
      <c r="N152" s="195">
        <v>2288</v>
      </c>
      <c r="O152" s="195">
        <v>3214</v>
      </c>
      <c r="P152" s="196">
        <f>IFERROR(O152/N152-1,"-")</f>
        <v>0.4047202797202798</v>
      </c>
      <c r="Q152" s="212">
        <f t="shared" si="70"/>
        <v>0.28508596561375454</v>
      </c>
      <c r="R152" s="196">
        <f>O152/O$9</f>
        <v>9.1285293524538246E-4</v>
      </c>
      <c r="S152" s="195">
        <v>7460</v>
      </c>
      <c r="T152" s="195">
        <v>7838</v>
      </c>
      <c r="U152" s="195">
        <v>15408</v>
      </c>
      <c r="V152" s="195">
        <v>14152</v>
      </c>
      <c r="W152" s="195">
        <v>16128</v>
      </c>
      <c r="X152" s="196">
        <f>IFERROR(W152/V152-1,"-")</f>
        <v>0.13962690785754672</v>
      </c>
      <c r="Y152" s="212">
        <f t="shared" si="71"/>
        <v>1.1619302949061661</v>
      </c>
      <c r="Z152" s="196">
        <f t="shared" si="69"/>
        <v>4.0795652911813553E-3</v>
      </c>
    </row>
    <row r="153" spans="1:26" x14ac:dyDescent="0.25">
      <c r="A153" s="1" t="s">
        <v>148</v>
      </c>
      <c r="B153" s="190" t="s">
        <v>109</v>
      </c>
      <c r="C153" s="191">
        <v>3648</v>
      </c>
      <c r="D153" s="191">
        <v>7050</v>
      </c>
      <c r="E153" s="191">
        <v>12362</v>
      </c>
      <c r="F153" s="191">
        <v>13012</v>
      </c>
      <c r="G153" s="191">
        <v>17285</v>
      </c>
      <c r="H153" s="192">
        <f>IFERROR(G153/F153-1,"-")</f>
        <v>0.3283891792191822</v>
      </c>
      <c r="I153" s="211">
        <f t="shared" si="63"/>
        <v>3.7382127192982457</v>
      </c>
      <c r="J153" s="192">
        <f>G153/G$9</f>
        <v>2.2779088309326446E-2</v>
      </c>
      <c r="K153" s="191">
        <v>16558</v>
      </c>
      <c r="L153" s="191">
        <v>23600</v>
      </c>
      <c r="M153" s="191">
        <v>39074</v>
      </c>
      <c r="N153" s="191">
        <v>44061</v>
      </c>
      <c r="O153" s="191">
        <v>46912</v>
      </c>
      <c r="P153" s="192">
        <f>IFERROR(O153/N153-1,"-")</f>
        <v>6.4705748848187694E-2</v>
      </c>
      <c r="Q153" s="211">
        <f t="shared" si="70"/>
        <v>1.8331924145428191</v>
      </c>
      <c r="R153" s="192">
        <f>O153/O$9</f>
        <v>1.332413095775712E-2</v>
      </c>
      <c r="S153" s="191">
        <v>20206</v>
      </c>
      <c r="T153" s="191">
        <v>30650</v>
      </c>
      <c r="U153" s="191">
        <v>51436</v>
      </c>
      <c r="V153" s="191">
        <v>57073</v>
      </c>
      <c r="W153" s="191">
        <v>64197</v>
      </c>
      <c r="X153" s="192">
        <f>IFERROR(W153/V153-1,"-")</f>
        <v>0.12482259562314924</v>
      </c>
      <c r="Y153" s="211">
        <f t="shared" si="71"/>
        <v>2.1771256062555677</v>
      </c>
      <c r="Z153" s="192">
        <f t="shared" si="69"/>
        <v>1.3618673436994043E-2</v>
      </c>
    </row>
    <row r="154" spans="1:26" x14ac:dyDescent="0.25">
      <c r="A154" s="193" t="s">
        <v>112</v>
      </c>
      <c r="B154" s="194" t="s">
        <v>112</v>
      </c>
      <c r="C154" s="195">
        <v>434</v>
      </c>
      <c r="D154" s="195">
        <v>401</v>
      </c>
      <c r="E154" s="195">
        <v>974</v>
      </c>
      <c r="F154" s="195">
        <v>983</v>
      </c>
      <c r="G154" s="195">
        <v>1429</v>
      </c>
      <c r="H154" s="196">
        <f t="shared" ref="H154:H161" si="72">IFERROR(G154/F154-1,"-")</f>
        <v>0.45371312309257372</v>
      </c>
      <c r="I154" s="212">
        <f t="shared" si="63"/>
        <v>2.2926267281105992</v>
      </c>
      <c r="J154" s="196">
        <f t="shared" ref="J154:J161" si="73">G154/G$9</f>
        <v>1.8832118712194094E-3</v>
      </c>
      <c r="K154" s="195">
        <v>5335</v>
      </c>
      <c r="L154" s="195">
        <v>5197</v>
      </c>
      <c r="M154" s="195">
        <v>18197</v>
      </c>
      <c r="N154" s="195">
        <v>17767</v>
      </c>
      <c r="O154" s="195">
        <v>18362</v>
      </c>
      <c r="P154" s="196">
        <f t="shared" ref="P154:P161" si="74">IFERROR(O154/N154-1,"-")</f>
        <v>3.3489052738222558E-2</v>
      </c>
      <c r="Q154" s="212">
        <f t="shared" si="70"/>
        <v>2.4417994376757264</v>
      </c>
      <c r="R154" s="196">
        <f t="shared" ref="R154:R161" si="75">O154/O$9</f>
        <v>5.2152475410627607E-3</v>
      </c>
      <c r="S154" s="195">
        <v>5769</v>
      </c>
      <c r="T154" s="195">
        <v>5598</v>
      </c>
      <c r="U154" s="195">
        <v>19171</v>
      </c>
      <c r="V154" s="195">
        <v>18750</v>
      </c>
      <c r="W154" s="195">
        <v>19791</v>
      </c>
      <c r="X154" s="196">
        <f t="shared" ref="X154:X161" si="76">IFERROR(W154/V154-1,"-")</f>
        <v>5.5520000000000014E-2</v>
      </c>
      <c r="Y154" s="212">
        <f t="shared" si="71"/>
        <v>2.4305772230889238</v>
      </c>
      <c r="Z154" s="196">
        <f t="shared" si="69"/>
        <v>5.0758921467573834E-3</v>
      </c>
    </row>
    <row r="155" spans="1:26" x14ac:dyDescent="0.25">
      <c r="A155" s="193" t="s">
        <v>115</v>
      </c>
      <c r="B155" s="194" t="s">
        <v>115</v>
      </c>
      <c r="C155" s="195">
        <v>651</v>
      </c>
      <c r="D155" s="195">
        <v>1400</v>
      </c>
      <c r="E155" s="195">
        <v>2438</v>
      </c>
      <c r="F155" s="195">
        <v>2568</v>
      </c>
      <c r="G155" s="195">
        <v>2962</v>
      </c>
      <c r="H155" s="196">
        <f t="shared" si="72"/>
        <v>0.15342679127725867</v>
      </c>
      <c r="I155" s="212">
        <f t="shared" si="63"/>
        <v>3.5499231950844852</v>
      </c>
      <c r="J155" s="196">
        <f t="shared" si="73"/>
        <v>3.903480449651428E-3</v>
      </c>
      <c r="K155" s="195">
        <v>3972</v>
      </c>
      <c r="L155" s="195">
        <v>6636</v>
      </c>
      <c r="M155" s="195">
        <v>7498</v>
      </c>
      <c r="N155" s="195">
        <v>7764</v>
      </c>
      <c r="O155" s="195">
        <v>7140</v>
      </c>
      <c r="P155" s="196">
        <f t="shared" si="74"/>
        <v>-8.037094281298296E-2</v>
      </c>
      <c r="Q155" s="212">
        <f t="shared" si="70"/>
        <v>0.797583081570997</v>
      </c>
      <c r="R155" s="196">
        <f t="shared" si="75"/>
        <v>2.0279309140174332E-3</v>
      </c>
      <c r="S155" s="195">
        <v>4623</v>
      </c>
      <c r="T155" s="195">
        <v>8036</v>
      </c>
      <c r="U155" s="195">
        <v>9936</v>
      </c>
      <c r="V155" s="195">
        <v>10332</v>
      </c>
      <c r="W155" s="195">
        <v>10102</v>
      </c>
      <c r="X155" s="196">
        <f t="shared" si="76"/>
        <v>-2.2260936895083239E-2</v>
      </c>
      <c r="Y155" s="212">
        <f t="shared" si="71"/>
        <v>1.1851611507678999</v>
      </c>
      <c r="Z155" s="196">
        <f t="shared" si="69"/>
        <v>2.6307477111356405E-3</v>
      </c>
    </row>
    <row r="156" spans="1:26" x14ac:dyDescent="0.25">
      <c r="A156" s="193" t="s">
        <v>118</v>
      </c>
      <c r="B156" s="194" t="s">
        <v>118</v>
      </c>
      <c r="C156" s="195">
        <v>563</v>
      </c>
      <c r="D156" s="195">
        <v>1370</v>
      </c>
      <c r="E156" s="195">
        <v>2211</v>
      </c>
      <c r="F156" s="195">
        <v>2245</v>
      </c>
      <c r="G156" s="195">
        <v>2884</v>
      </c>
      <c r="H156" s="196">
        <f t="shared" si="72"/>
        <v>0.2846325167037862</v>
      </c>
      <c r="I156" s="212">
        <f t="shared" si="63"/>
        <v>4.1225577264653639</v>
      </c>
      <c r="J156" s="196">
        <f t="shared" si="73"/>
        <v>3.8006879192419708E-3</v>
      </c>
      <c r="K156" s="195">
        <v>1717</v>
      </c>
      <c r="L156" s="195">
        <v>3754</v>
      </c>
      <c r="M156" s="195">
        <v>4261</v>
      </c>
      <c r="N156" s="195">
        <v>7004</v>
      </c>
      <c r="O156" s="195">
        <v>8840</v>
      </c>
      <c r="P156" s="196">
        <f t="shared" si="74"/>
        <v>0.26213592233009719</v>
      </c>
      <c r="Q156" s="212">
        <f t="shared" si="70"/>
        <v>4.1485148514851486</v>
      </c>
      <c r="R156" s="196">
        <f t="shared" si="75"/>
        <v>2.5107716078311081E-3</v>
      </c>
      <c r="S156" s="195">
        <v>2280</v>
      </c>
      <c r="T156" s="195">
        <v>5124</v>
      </c>
      <c r="U156" s="195">
        <v>6472</v>
      </c>
      <c r="V156" s="195">
        <v>9249</v>
      </c>
      <c r="W156" s="195">
        <v>11724</v>
      </c>
      <c r="X156" s="196">
        <f t="shared" si="76"/>
        <v>0.26759649691858578</v>
      </c>
      <c r="Y156" s="212">
        <f t="shared" si="71"/>
        <v>4.1421052631578945</v>
      </c>
      <c r="Z156" s="196">
        <f t="shared" si="69"/>
        <v>1.7135868746447128E-3</v>
      </c>
    </row>
    <row r="157" spans="1:26" x14ac:dyDescent="0.25">
      <c r="A157" s="193" t="s">
        <v>125</v>
      </c>
      <c r="B157" s="194" t="s">
        <v>125</v>
      </c>
      <c r="C157" s="195">
        <v>250</v>
      </c>
      <c r="D157" s="195">
        <v>317</v>
      </c>
      <c r="E157" s="195">
        <v>761</v>
      </c>
      <c r="F157" s="195">
        <v>634</v>
      </c>
      <c r="G157" s="195">
        <v>898</v>
      </c>
      <c r="H157" s="196">
        <f t="shared" si="72"/>
        <v>0.41640378548895907</v>
      </c>
      <c r="I157" s="212">
        <f t="shared" si="63"/>
        <v>2.5920000000000001</v>
      </c>
      <c r="J157" s="196">
        <f t="shared" si="73"/>
        <v>1.1834319526627219E-3</v>
      </c>
      <c r="K157" s="195">
        <v>328</v>
      </c>
      <c r="L157" s="195">
        <v>589</v>
      </c>
      <c r="M157" s="195">
        <v>856</v>
      </c>
      <c r="N157" s="195">
        <v>868</v>
      </c>
      <c r="O157" s="195">
        <v>969</v>
      </c>
      <c r="P157" s="196">
        <f t="shared" si="74"/>
        <v>0.11635944700460832</v>
      </c>
      <c r="Q157" s="212">
        <f t="shared" si="70"/>
        <v>1.9542682926829267</v>
      </c>
      <c r="R157" s="196">
        <f t="shared" si="75"/>
        <v>2.7521919547379454E-4</v>
      </c>
      <c r="S157" s="195">
        <v>578</v>
      </c>
      <c r="T157" s="195">
        <v>906</v>
      </c>
      <c r="U157" s="195">
        <v>1617</v>
      </c>
      <c r="V157" s="195">
        <v>1502</v>
      </c>
      <c r="W157" s="195">
        <v>1867</v>
      </c>
      <c r="X157" s="196">
        <f t="shared" si="76"/>
        <v>0.24300932090545935</v>
      </c>
      <c r="Y157" s="212">
        <f t="shared" si="71"/>
        <v>2.2301038062283736</v>
      </c>
      <c r="Z157" s="196">
        <f t="shared" si="69"/>
        <v>4.2813194936657916E-4</v>
      </c>
    </row>
    <row r="158" spans="1:26" x14ac:dyDescent="0.25">
      <c r="A158" s="193" t="s">
        <v>121</v>
      </c>
      <c r="B158" s="194" t="s">
        <v>121</v>
      </c>
      <c r="C158" s="195">
        <v>236</v>
      </c>
      <c r="D158" s="195">
        <v>351</v>
      </c>
      <c r="E158" s="195">
        <v>597</v>
      </c>
      <c r="F158" s="195">
        <v>569</v>
      </c>
      <c r="G158" s="195">
        <v>772</v>
      </c>
      <c r="H158" s="196">
        <f t="shared" si="72"/>
        <v>0.35676625659050965</v>
      </c>
      <c r="I158" s="212">
        <f t="shared" si="63"/>
        <v>2.2711864406779663</v>
      </c>
      <c r="J158" s="196">
        <f t="shared" si="73"/>
        <v>1.0173824804628299E-3</v>
      </c>
      <c r="K158" s="195">
        <v>1262</v>
      </c>
      <c r="L158" s="195">
        <v>1393</v>
      </c>
      <c r="M158" s="195">
        <v>2346</v>
      </c>
      <c r="N158" s="195">
        <v>2305</v>
      </c>
      <c r="O158" s="195">
        <v>2540</v>
      </c>
      <c r="P158" s="196">
        <f t="shared" si="74"/>
        <v>0.10195227765726678</v>
      </c>
      <c r="Q158" s="212">
        <f t="shared" si="70"/>
        <v>1.0126782884310619</v>
      </c>
      <c r="R158" s="196">
        <f t="shared" si="75"/>
        <v>7.2142080134513734E-4</v>
      </c>
      <c r="S158" s="195">
        <v>1498</v>
      </c>
      <c r="T158" s="195">
        <v>1744</v>
      </c>
      <c r="U158" s="195">
        <v>2943</v>
      </c>
      <c r="V158" s="195">
        <v>2874</v>
      </c>
      <c r="W158" s="195">
        <v>3312</v>
      </c>
      <c r="X158" s="196">
        <f t="shared" si="76"/>
        <v>0.15240083507306879</v>
      </c>
      <c r="Y158" s="212">
        <f t="shared" si="71"/>
        <v>1.2109479305740987</v>
      </c>
      <c r="Z158" s="196">
        <f t="shared" si="69"/>
        <v>7.7921603400485004E-4</v>
      </c>
    </row>
    <row r="159" spans="1:26" x14ac:dyDescent="0.25">
      <c r="A159" s="193" t="s">
        <v>130</v>
      </c>
      <c r="B159" s="194" t="s">
        <v>130</v>
      </c>
      <c r="C159" s="195">
        <v>58</v>
      </c>
      <c r="D159" s="195">
        <v>71</v>
      </c>
      <c r="E159" s="195">
        <v>195</v>
      </c>
      <c r="F159" s="195">
        <v>156</v>
      </c>
      <c r="G159" s="195">
        <v>110</v>
      </c>
      <c r="H159" s="196">
        <f t="shared" si="72"/>
        <v>-0.29487179487179482</v>
      </c>
      <c r="I159" s="212">
        <f t="shared" si="63"/>
        <v>0.89655172413793105</v>
      </c>
      <c r="J159" s="196">
        <f t="shared" si="73"/>
        <v>1.449638249364136E-4</v>
      </c>
      <c r="K159" s="195">
        <v>174</v>
      </c>
      <c r="L159" s="195">
        <v>211</v>
      </c>
      <c r="M159" s="195">
        <v>277</v>
      </c>
      <c r="N159" s="195">
        <v>276</v>
      </c>
      <c r="O159" s="195">
        <v>264</v>
      </c>
      <c r="P159" s="196">
        <f t="shared" si="74"/>
        <v>-4.3478260869565188E-2</v>
      </c>
      <c r="Q159" s="212">
        <f t="shared" si="70"/>
        <v>0.51724137931034475</v>
      </c>
      <c r="R159" s="196">
        <f t="shared" si="75"/>
        <v>7.4982319509888295E-5</v>
      </c>
      <c r="S159" s="195">
        <v>232</v>
      </c>
      <c r="T159" s="195">
        <v>282</v>
      </c>
      <c r="U159" s="195">
        <v>472</v>
      </c>
      <c r="V159" s="195">
        <v>432</v>
      </c>
      <c r="W159" s="195">
        <v>374</v>
      </c>
      <c r="X159" s="196">
        <f t="shared" si="76"/>
        <v>-0.1342592592592593</v>
      </c>
      <c r="Y159" s="212">
        <f t="shared" si="71"/>
        <v>0.61206896551724133</v>
      </c>
      <c r="Z159" s="196">
        <f t="shared" si="69"/>
        <v>1.2497110705072688E-4</v>
      </c>
    </row>
    <row r="160" spans="1:26" x14ac:dyDescent="0.25">
      <c r="A160" s="193" t="s">
        <v>133</v>
      </c>
      <c r="B160" s="194" t="s">
        <v>133</v>
      </c>
      <c r="C160" s="195">
        <v>70</v>
      </c>
      <c r="D160" s="195">
        <v>84</v>
      </c>
      <c r="E160" s="195">
        <v>99</v>
      </c>
      <c r="F160" s="195">
        <v>155</v>
      </c>
      <c r="G160" s="195">
        <v>126</v>
      </c>
      <c r="H160" s="196">
        <f t="shared" si="72"/>
        <v>-0.18709677419354842</v>
      </c>
      <c r="I160" s="212">
        <f t="shared" si="63"/>
        <v>0.8</v>
      </c>
      <c r="J160" s="196">
        <f t="shared" si="73"/>
        <v>1.6604947219989194E-4</v>
      </c>
      <c r="K160" s="195">
        <v>228</v>
      </c>
      <c r="L160" s="195">
        <v>362</v>
      </c>
      <c r="M160" s="195">
        <v>555</v>
      </c>
      <c r="N160" s="195">
        <v>677</v>
      </c>
      <c r="O160" s="195">
        <v>456</v>
      </c>
      <c r="P160" s="196">
        <f t="shared" si="74"/>
        <v>-0.3264401772525849</v>
      </c>
      <c r="Q160" s="212">
        <f t="shared" si="70"/>
        <v>1</v>
      </c>
      <c r="R160" s="196">
        <f t="shared" si="75"/>
        <v>1.2951491551707977E-4</v>
      </c>
      <c r="S160" s="195">
        <v>298</v>
      </c>
      <c r="T160" s="195">
        <v>446</v>
      </c>
      <c r="U160" s="195">
        <v>654</v>
      </c>
      <c r="V160" s="195">
        <v>832</v>
      </c>
      <c r="W160" s="195">
        <v>582</v>
      </c>
      <c r="X160" s="196">
        <f t="shared" si="76"/>
        <v>-0.30048076923076927</v>
      </c>
      <c r="Y160" s="212">
        <f t="shared" si="71"/>
        <v>0.95302013422818788</v>
      </c>
      <c r="Z160" s="196">
        <f t="shared" si="69"/>
        <v>1.7315911866774445E-4</v>
      </c>
    </row>
    <row r="161" spans="1:26" x14ac:dyDescent="0.25">
      <c r="A161" s="198" t="s">
        <v>147</v>
      </c>
      <c r="B161" s="199" t="s">
        <v>147</v>
      </c>
      <c r="C161" s="200">
        <f>C153-SUM(C154:C160)</f>
        <v>1386</v>
      </c>
      <c r="D161" s="200">
        <f>D153-SUM(D154:D160)</f>
        <v>3056</v>
      </c>
      <c r="E161" s="200">
        <f>E153-SUM(E154:E160)</f>
        <v>5087</v>
      </c>
      <c r="F161" s="200">
        <f>F153-SUM(F154:F160)</f>
        <v>5702</v>
      </c>
      <c r="G161" s="200">
        <f>G153-SUM(G154:G160)</f>
        <v>8104</v>
      </c>
      <c r="H161" s="201">
        <f t="shared" si="72"/>
        <v>0.42125569975447208</v>
      </c>
      <c r="I161" s="213">
        <f t="shared" si="63"/>
        <v>4.8470418470418473</v>
      </c>
      <c r="J161" s="201">
        <f t="shared" si="73"/>
        <v>1.0679880338951779E-2</v>
      </c>
      <c r="K161" s="200">
        <f>K153-SUM(K154:K160)</f>
        <v>3542</v>
      </c>
      <c r="L161" s="200">
        <f>L153-SUM(L154:L160)</f>
        <v>5458</v>
      </c>
      <c r="M161" s="200">
        <f>M153-SUM(M154:M160)</f>
        <v>5084</v>
      </c>
      <c r="N161" s="200">
        <f>N153-SUM(N154:N160)</f>
        <v>7400</v>
      </c>
      <c r="O161" s="200">
        <f>O153-SUM(O154:O160)</f>
        <v>8341</v>
      </c>
      <c r="P161" s="201">
        <f t="shared" si="74"/>
        <v>0.12716216216216214</v>
      </c>
      <c r="Q161" s="213">
        <f t="shared" si="70"/>
        <v>1.3548842461885942</v>
      </c>
      <c r="R161" s="201">
        <f t="shared" si="75"/>
        <v>2.3690436629999175E-3</v>
      </c>
      <c r="S161" s="200">
        <f>S153-SUM(S154:S160)</f>
        <v>4928</v>
      </c>
      <c r="T161" s="200">
        <f>T153-SUM(T154:T160)</f>
        <v>8514</v>
      </c>
      <c r="U161" s="200">
        <f>U153-SUM(U154:U160)</f>
        <v>10171</v>
      </c>
      <c r="V161" s="200">
        <f>V153-SUM(V154:V160)</f>
        <v>13102</v>
      </c>
      <c r="W161" s="200">
        <f>W153-SUM(W154:W160)</f>
        <v>16445</v>
      </c>
      <c r="X161" s="201">
        <f t="shared" si="76"/>
        <v>0.25515188520836518</v>
      </c>
      <c r="Y161" s="213">
        <f t="shared" si="71"/>
        <v>2.3370535714285716</v>
      </c>
      <c r="Z161" s="201">
        <f t="shared" si="69"/>
        <v>2.692968495366405E-3</v>
      </c>
    </row>
    <row r="162" spans="1:26" ht="6" customHeight="1" x14ac:dyDescent="0.25">
      <c r="C162" s="103"/>
      <c r="D162" s="103"/>
      <c r="E162" s="103"/>
      <c r="F162" s="103"/>
      <c r="G162" s="103"/>
      <c r="H162" s="103"/>
      <c r="K162" s="103"/>
      <c r="L162" s="103"/>
      <c r="M162" s="103"/>
      <c r="N162" s="103"/>
      <c r="O162" s="103"/>
      <c r="P162" s="103"/>
      <c r="S162" s="103"/>
      <c r="T162" s="103"/>
      <c r="U162" s="103"/>
      <c r="V162" s="103"/>
      <c r="W162" s="103"/>
      <c r="X162" s="103"/>
    </row>
    <row r="163" spans="1:26" ht="6" customHeight="1" x14ac:dyDescent="0.25">
      <c r="B163" s="202"/>
      <c r="C163" s="202"/>
      <c r="D163" s="20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</row>
    <row r="164" spans="1:26" x14ac:dyDescent="0.25">
      <c r="B164" s="131" t="s">
        <v>57</v>
      </c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</row>
  </sheetData>
  <mergeCells count="3">
    <mergeCell ref="C6:J6"/>
    <mergeCell ref="K6:R6"/>
    <mergeCell ref="S6:Z6"/>
  </mergeCells>
  <pageMargins left="0.7" right="0.7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D23B8-8A3A-4528-AAF5-8E79ACDBEB1E}">
  <sheetPr>
    <tabColor theme="8" tint="0.59999389629810485"/>
  </sheetPr>
  <dimension ref="A4:L77"/>
  <sheetViews>
    <sheetView showGridLines="0" zoomScaleNormal="100" workbookViewId="0">
      <selection activeCell="D5" sqref="D5"/>
    </sheetView>
  </sheetViews>
  <sheetFormatPr baseColWidth="10" defaultColWidth="11.42578125" defaultRowHeight="15" x14ac:dyDescent="0.25"/>
  <cols>
    <col min="3" max="3" width="16.85546875" customWidth="1"/>
    <col min="4" max="4" width="15.5703125" customWidth="1"/>
    <col min="5" max="9" width="12.7109375" customWidth="1"/>
    <col min="12" max="12" width="12" customWidth="1"/>
  </cols>
  <sheetData>
    <row r="4" spans="2:12" ht="21.75" thickBot="1" x14ac:dyDescent="0.3">
      <c r="B4" s="12" t="s">
        <v>227</v>
      </c>
      <c r="C4" s="12"/>
      <c r="D4" s="12"/>
      <c r="E4" s="12"/>
      <c r="F4" s="12"/>
      <c r="G4" s="12"/>
      <c r="H4" s="12"/>
      <c r="I4" s="12"/>
      <c r="J4" s="12"/>
      <c r="K4" s="12"/>
      <c r="L4" s="13"/>
    </row>
    <row r="5" spans="2:12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45" x14ac:dyDescent="0.25">
      <c r="B6" s="4"/>
      <c r="C6" s="4"/>
      <c r="D6" s="4"/>
      <c r="E6" s="14" t="s">
        <v>228</v>
      </c>
      <c r="F6" s="14" t="s">
        <v>229</v>
      </c>
      <c r="G6" s="14" t="s">
        <v>230</v>
      </c>
      <c r="H6" s="14" t="s">
        <v>231</v>
      </c>
      <c r="I6" s="14" t="s">
        <v>232</v>
      </c>
      <c r="J6" s="15" t="str">
        <f>CONCATENATE("var. ",RIGHT(I6,2),"/",RIGHT(H6,2))</f>
        <v>var. 25/24</v>
      </c>
      <c r="K6" s="15" t="str">
        <f>CONCATENATE("dif. ",RIGHT(I6,2),"/",RIGHT(H6,2))</f>
        <v>dif. 25/24</v>
      </c>
      <c r="L6" s="15" t="str">
        <f>CONCATENATE("cuota ",I6)</f>
        <v>cuota octubre 2025</v>
      </c>
    </row>
    <row r="7" spans="2:12" x14ac:dyDescent="0.25">
      <c r="B7" s="16" t="s">
        <v>51</v>
      </c>
      <c r="C7" s="17" t="s">
        <v>8</v>
      </c>
      <c r="D7" s="18" t="s">
        <v>32</v>
      </c>
      <c r="E7" s="19">
        <v>3380</v>
      </c>
      <c r="F7" s="19">
        <v>4025</v>
      </c>
      <c r="G7" s="19">
        <v>4419</v>
      </c>
      <c r="H7" s="19">
        <v>4919</v>
      </c>
      <c r="I7" s="19">
        <v>5990</v>
      </c>
      <c r="J7" s="20">
        <f>I7/H7-1</f>
        <v>0.21772718032120353</v>
      </c>
      <c r="K7" s="19">
        <f>I7-H7</f>
        <v>1071</v>
      </c>
      <c r="L7" s="21">
        <f>I7/$I$7</f>
        <v>1</v>
      </c>
    </row>
    <row r="8" spans="2:12" x14ac:dyDescent="0.25">
      <c r="B8" s="22"/>
      <c r="C8" s="23"/>
      <c r="D8" s="24" t="s">
        <v>33</v>
      </c>
      <c r="E8" s="25">
        <v>3380</v>
      </c>
      <c r="F8" s="25">
        <v>4025</v>
      </c>
      <c r="G8" s="25">
        <v>4419</v>
      </c>
      <c r="H8" s="25">
        <v>4919</v>
      </c>
      <c r="I8" s="25">
        <v>5990</v>
      </c>
      <c r="J8" s="26">
        <f t="shared" ref="J8:J20" si="0">I8/H8-1</f>
        <v>0.21772718032120353</v>
      </c>
      <c r="K8" s="25">
        <f t="shared" ref="K8:K17" si="1">I8-H8</f>
        <v>1071</v>
      </c>
      <c r="L8" s="27">
        <f>I8/$I$7</f>
        <v>1</v>
      </c>
    </row>
    <row r="9" spans="2:12" x14ac:dyDescent="0.25">
      <c r="B9" s="22"/>
      <c r="C9" s="28"/>
      <c r="D9" s="29" t="s">
        <v>34</v>
      </c>
      <c r="E9" s="30" t="s">
        <v>233</v>
      </c>
      <c r="F9" s="30" t="s">
        <v>233</v>
      </c>
      <c r="G9" s="30" t="s">
        <v>233</v>
      </c>
      <c r="H9" s="30" t="s">
        <v>233</v>
      </c>
      <c r="I9" s="30" t="s">
        <v>233</v>
      </c>
      <c r="J9" s="31" t="str">
        <f>IFERROR(I9/H9-1,"-")</f>
        <v>-</v>
      </c>
      <c r="K9" s="30" t="str">
        <f>IFERROR(I9-H9,"-")</f>
        <v>-</v>
      </c>
      <c r="L9" s="31" t="str">
        <f>IFERROR(I9/$I$7,"-")</f>
        <v>-</v>
      </c>
    </row>
    <row r="10" spans="2:12" x14ac:dyDescent="0.25">
      <c r="B10" s="22"/>
      <c r="C10" s="32" t="s">
        <v>35</v>
      </c>
      <c r="D10" s="33" t="s">
        <v>32</v>
      </c>
      <c r="E10" s="34">
        <v>3518</v>
      </c>
      <c r="F10" s="34">
        <v>4228</v>
      </c>
      <c r="G10" s="34">
        <v>4556</v>
      </c>
      <c r="H10" s="34">
        <v>5166</v>
      </c>
      <c r="I10" s="34">
        <v>6283</v>
      </c>
      <c r="J10" s="35">
        <f t="shared" si="0"/>
        <v>0.21622144792876496</v>
      </c>
      <c r="K10" s="34">
        <f t="shared" si="1"/>
        <v>1117</v>
      </c>
      <c r="L10" s="21">
        <f>I10/$I$10</f>
        <v>1</v>
      </c>
    </row>
    <row r="11" spans="2:12" x14ac:dyDescent="0.25">
      <c r="B11" s="22"/>
      <c r="C11" s="36"/>
      <c r="D11" s="4" t="s">
        <v>33</v>
      </c>
      <c r="E11" s="37">
        <v>3518</v>
      </c>
      <c r="F11" s="37">
        <v>4228</v>
      </c>
      <c r="G11" s="37">
        <v>4556</v>
      </c>
      <c r="H11" s="37">
        <v>5166</v>
      </c>
      <c r="I11" s="37">
        <v>6283</v>
      </c>
      <c r="J11" s="38">
        <f t="shared" si="0"/>
        <v>0.21622144792876496</v>
      </c>
      <c r="K11" s="37">
        <f t="shared" si="1"/>
        <v>1117</v>
      </c>
      <c r="L11" s="39">
        <f>I11/$I$10</f>
        <v>1</v>
      </c>
    </row>
    <row r="12" spans="2:12" x14ac:dyDescent="0.25">
      <c r="B12" s="22"/>
      <c r="C12" s="40"/>
      <c r="D12" s="41" t="s">
        <v>34</v>
      </c>
      <c r="E12" s="42" t="s">
        <v>233</v>
      </c>
      <c r="F12" s="42" t="s">
        <v>233</v>
      </c>
      <c r="G12" s="42" t="s">
        <v>233</v>
      </c>
      <c r="H12" s="42" t="s">
        <v>233</v>
      </c>
      <c r="I12" s="42" t="s">
        <v>233</v>
      </c>
      <c r="J12" s="43" t="str">
        <f>IFERROR(I12/H12-1,"-")</f>
        <v>-</v>
      </c>
      <c r="K12" s="42" t="str">
        <f>IFERROR(I12-H12,"-")</f>
        <v>-</v>
      </c>
      <c r="L12" s="43" t="str">
        <f>IFERROR(I12/$I$10,"-")</f>
        <v>-</v>
      </c>
    </row>
    <row r="13" spans="2:12" x14ac:dyDescent="0.25">
      <c r="B13" s="22"/>
      <c r="C13" s="17" t="s">
        <v>21</v>
      </c>
      <c r="D13" s="18" t="s">
        <v>32</v>
      </c>
      <c r="E13" s="19">
        <v>10119</v>
      </c>
      <c r="F13" s="19">
        <v>11595</v>
      </c>
      <c r="G13" s="19">
        <v>11107</v>
      </c>
      <c r="H13" s="19">
        <v>12187</v>
      </c>
      <c r="I13" s="19">
        <v>14433</v>
      </c>
      <c r="J13" s="20">
        <f t="shared" si="0"/>
        <v>0.18429474029703785</v>
      </c>
      <c r="K13" s="19">
        <f t="shared" si="1"/>
        <v>2246</v>
      </c>
      <c r="L13" s="21">
        <f>I13/$I$13</f>
        <v>1</v>
      </c>
    </row>
    <row r="14" spans="2:12" x14ac:dyDescent="0.25">
      <c r="B14" s="22"/>
      <c r="C14" s="23"/>
      <c r="D14" s="24" t="s">
        <v>33</v>
      </c>
      <c r="E14" s="25">
        <v>10119</v>
      </c>
      <c r="F14" s="25">
        <v>11595</v>
      </c>
      <c r="G14" s="25">
        <v>11107</v>
      </c>
      <c r="H14" s="25">
        <v>12187</v>
      </c>
      <c r="I14" s="25">
        <v>14433</v>
      </c>
      <c r="J14" s="26">
        <f t="shared" si="0"/>
        <v>0.18429474029703785</v>
      </c>
      <c r="K14" s="25">
        <f t="shared" si="1"/>
        <v>2246</v>
      </c>
      <c r="L14" s="27">
        <f>I14/$I$13</f>
        <v>1</v>
      </c>
    </row>
    <row r="15" spans="2:12" x14ac:dyDescent="0.25">
      <c r="B15" s="22"/>
      <c r="C15" s="28"/>
      <c r="D15" s="29" t="s">
        <v>34</v>
      </c>
      <c r="E15" s="30" t="s">
        <v>233</v>
      </c>
      <c r="F15" s="30" t="s">
        <v>233</v>
      </c>
      <c r="G15" s="30" t="s">
        <v>233</v>
      </c>
      <c r="H15" s="30" t="s">
        <v>233</v>
      </c>
      <c r="I15" s="30" t="s">
        <v>233</v>
      </c>
      <c r="J15" s="31" t="str">
        <f>IFERROR(I15/H15-1,"-")</f>
        <v>-</v>
      </c>
      <c r="K15" s="30" t="str">
        <f>IFERROR(I15-H15,"-")</f>
        <v>-</v>
      </c>
      <c r="L15" s="31" t="str">
        <f>IFERROR(I15/$I$13,"-")</f>
        <v>-</v>
      </c>
    </row>
    <row r="16" spans="2:12" x14ac:dyDescent="0.25">
      <c r="B16" s="22"/>
      <c r="C16" s="32" t="s">
        <v>22</v>
      </c>
      <c r="D16" s="33" t="s">
        <v>32</v>
      </c>
      <c r="E16" s="44">
        <v>2.9937869822485208</v>
      </c>
      <c r="F16" s="44">
        <v>2.8807453416149067</v>
      </c>
      <c r="G16" s="44">
        <v>2.5134645847476804</v>
      </c>
      <c r="H16" s="44">
        <v>2.4775360845700347</v>
      </c>
      <c r="I16" s="44">
        <v>2.4095158597662771</v>
      </c>
      <c r="J16" s="45">
        <f t="shared" si="0"/>
        <v>-2.745478672435242E-2</v>
      </c>
      <c r="K16" s="46">
        <f t="shared" si="1"/>
        <v>-6.8020224803757579E-2</v>
      </c>
      <c r="L16" s="47"/>
    </row>
    <row r="17" spans="2:12" x14ac:dyDescent="0.25">
      <c r="B17" s="22"/>
      <c r="C17" s="36"/>
      <c r="D17" s="4" t="s">
        <v>33</v>
      </c>
      <c r="E17" s="48">
        <f>E14/E8</f>
        <v>2.9937869822485208</v>
      </c>
      <c r="F17" s="48">
        <f t="shared" ref="F17:I17" si="2">F14/F8</f>
        <v>2.8807453416149067</v>
      </c>
      <c r="G17" s="48">
        <f t="shared" si="2"/>
        <v>2.5134645847476804</v>
      </c>
      <c r="H17" s="48">
        <f t="shared" si="2"/>
        <v>2.4775360845700347</v>
      </c>
      <c r="I17" s="48">
        <f t="shared" si="2"/>
        <v>2.4095158597662771</v>
      </c>
      <c r="J17" s="49">
        <f t="shared" si="0"/>
        <v>-2.745478672435242E-2</v>
      </c>
      <c r="K17" s="50">
        <f t="shared" si="1"/>
        <v>-6.8020224803757579E-2</v>
      </c>
      <c r="L17" s="51"/>
    </row>
    <row r="18" spans="2:12" x14ac:dyDescent="0.25">
      <c r="B18" s="22"/>
      <c r="C18" s="40"/>
      <c r="D18" s="41" t="s">
        <v>34</v>
      </c>
      <c r="E18" s="52" t="str">
        <f>IFERROR(E15/E9,"-")</f>
        <v>-</v>
      </c>
      <c r="F18" s="52" t="str">
        <f t="shared" ref="F18:I18" si="3">IFERROR(F15/F9,"-")</f>
        <v>-</v>
      </c>
      <c r="G18" s="52" t="str">
        <f t="shared" si="3"/>
        <v>-</v>
      </c>
      <c r="H18" s="52" t="str">
        <f t="shared" si="3"/>
        <v>-</v>
      </c>
      <c r="I18" s="52" t="str">
        <f t="shared" si="3"/>
        <v>-</v>
      </c>
      <c r="J18" s="43" t="str">
        <f>IFERROR(I18/H18-1,"-")</f>
        <v>-</v>
      </c>
      <c r="K18" s="42" t="str">
        <f>IFERROR(I18-H18,"-")</f>
        <v>-</v>
      </c>
      <c r="L18" s="43"/>
    </row>
    <row r="19" spans="2:12" x14ac:dyDescent="0.25">
      <c r="B19" s="22"/>
      <c r="C19" s="53" t="s">
        <v>36</v>
      </c>
      <c r="D19" s="18" t="s">
        <v>32</v>
      </c>
      <c r="E19" s="21">
        <v>0.52229999999999999</v>
      </c>
      <c r="F19" s="21">
        <v>0.56420000000000003</v>
      </c>
      <c r="G19" s="21">
        <v>0.53239999999999998</v>
      </c>
      <c r="H19" s="21">
        <v>0.58409999999999995</v>
      </c>
      <c r="I19" s="21">
        <v>0.69180000000000008</v>
      </c>
      <c r="J19" s="20">
        <f t="shared" si="0"/>
        <v>0.18438623523369313</v>
      </c>
      <c r="K19" s="54">
        <f>(I19-H19)*100</f>
        <v>10.770000000000014</v>
      </c>
      <c r="L19" s="21"/>
    </row>
    <row r="20" spans="2:12" x14ac:dyDescent="0.25">
      <c r="B20" s="22"/>
      <c r="C20" s="55"/>
      <c r="D20" s="24" t="s">
        <v>33</v>
      </c>
      <c r="E20" s="27">
        <v>0.52229999999999999</v>
      </c>
      <c r="F20" s="27">
        <v>0.56420000000000003</v>
      </c>
      <c r="G20" s="27">
        <v>0.53239999999999998</v>
      </c>
      <c r="H20" s="27">
        <v>0.58409999999999995</v>
      </c>
      <c r="I20" s="27">
        <v>0.69180000000000008</v>
      </c>
      <c r="J20" s="26">
        <f t="shared" si="0"/>
        <v>0.18438623523369313</v>
      </c>
      <c r="K20" s="56">
        <f>(I20-H20)*100</f>
        <v>10.770000000000014</v>
      </c>
      <c r="L20" s="27"/>
    </row>
    <row r="21" spans="2:12" x14ac:dyDescent="0.25">
      <c r="B21" s="22"/>
      <c r="C21" s="57"/>
      <c r="D21" s="29" t="s">
        <v>34</v>
      </c>
      <c r="E21" s="31" t="s">
        <v>233</v>
      </c>
      <c r="F21" s="31" t="s">
        <v>233</v>
      </c>
      <c r="G21" s="31" t="s">
        <v>233</v>
      </c>
      <c r="H21" s="31" t="s">
        <v>233</v>
      </c>
      <c r="I21" s="31" t="s">
        <v>233</v>
      </c>
      <c r="J21" s="31" t="str">
        <f>IFERROR(I21/H21-1,"-")</f>
        <v>-</v>
      </c>
      <c r="K21" s="30" t="str">
        <f>IFERROR(I21-H21,"-")</f>
        <v>-</v>
      </c>
      <c r="L21" s="58"/>
    </row>
    <row r="22" spans="2:12" x14ac:dyDescent="0.25">
      <c r="B22" s="22"/>
      <c r="C22" s="59" t="s">
        <v>37</v>
      </c>
      <c r="D22" s="33" t="s">
        <v>32</v>
      </c>
      <c r="E22" s="34">
        <v>625</v>
      </c>
      <c r="F22" s="34">
        <v>663</v>
      </c>
      <c r="G22" s="34">
        <v>673</v>
      </c>
      <c r="H22" s="34">
        <v>673</v>
      </c>
      <c r="I22" s="34">
        <v>673</v>
      </c>
      <c r="J22" s="45">
        <f>I22/H22-1</f>
        <v>0</v>
      </c>
      <c r="K22" s="34">
        <f>I22-H22</f>
        <v>0</v>
      </c>
      <c r="L22" s="47">
        <f>I22/$I$22</f>
        <v>1</v>
      </c>
    </row>
    <row r="23" spans="2:12" x14ac:dyDescent="0.25">
      <c r="B23" s="22"/>
      <c r="C23" s="60"/>
      <c r="D23" s="4" t="s">
        <v>33</v>
      </c>
      <c r="E23" s="37">
        <v>625</v>
      </c>
      <c r="F23" s="37">
        <v>663</v>
      </c>
      <c r="G23" s="37">
        <v>673</v>
      </c>
      <c r="H23" s="37">
        <v>673</v>
      </c>
      <c r="I23" s="37">
        <v>673</v>
      </c>
      <c r="J23" s="49">
        <f>I23/H23-1</f>
        <v>0</v>
      </c>
      <c r="K23" s="37">
        <f>I23-H23</f>
        <v>0</v>
      </c>
      <c r="L23" s="51">
        <f>I23/$I$22</f>
        <v>1</v>
      </c>
    </row>
    <row r="24" spans="2:12" x14ac:dyDescent="0.25">
      <c r="B24" s="61"/>
      <c r="C24" s="62"/>
      <c r="D24" s="41" t="s">
        <v>34</v>
      </c>
      <c r="E24" s="42" t="s">
        <v>233</v>
      </c>
      <c r="F24" s="42" t="s">
        <v>233</v>
      </c>
      <c r="G24" s="42" t="s">
        <v>233</v>
      </c>
      <c r="H24" s="42" t="s">
        <v>233</v>
      </c>
      <c r="I24" s="42" t="s">
        <v>233</v>
      </c>
      <c r="J24" s="43" t="str">
        <f>IFERROR(I24/H24-1,"-")</f>
        <v>-</v>
      </c>
      <c r="K24" s="42" t="str">
        <f>IFERROR(I24-H24,"-")</f>
        <v>-</v>
      </c>
      <c r="L24" s="43" t="str">
        <f>IFERROR(I24/$I$22,"-")</f>
        <v>-</v>
      </c>
    </row>
    <row r="25" spans="2:12" ht="7.5" customHeight="1" x14ac:dyDescent="0.25"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4"/>
    </row>
    <row r="26" spans="2:12" ht="24.75" customHeight="1" x14ac:dyDescent="0.25">
      <c r="B26" s="65" t="s">
        <v>38</v>
      </c>
      <c r="C26" s="66"/>
      <c r="D26" s="66"/>
      <c r="E26" s="66"/>
      <c r="F26" s="66"/>
      <c r="G26" s="66"/>
      <c r="H26" s="66"/>
      <c r="I26" s="66"/>
      <c r="J26" s="66"/>
      <c r="K26" s="66"/>
    </row>
    <row r="29" spans="2:12" ht="21.75" customHeight="1" thickBot="1" x14ac:dyDescent="0.3">
      <c r="B29" s="12" t="s">
        <v>227</v>
      </c>
      <c r="C29" s="12"/>
      <c r="D29" s="12"/>
      <c r="E29" s="12"/>
      <c r="F29" s="12"/>
      <c r="G29" s="12"/>
      <c r="H29" s="12"/>
      <c r="I29" s="12"/>
      <c r="J29" s="12"/>
      <c r="K29" s="12"/>
      <c r="L29" s="13"/>
    </row>
    <row r="30" spans="2:12" ht="6" customHeight="1" thickBo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ht="60" x14ac:dyDescent="0.25">
      <c r="B31" s="4"/>
      <c r="C31" s="4"/>
      <c r="D31" s="4"/>
      <c r="E31" s="14" t="s">
        <v>234</v>
      </c>
      <c r="F31" s="14" t="s">
        <v>235</v>
      </c>
      <c r="G31" s="14" t="s">
        <v>236</v>
      </c>
      <c r="H31" s="14" t="s">
        <v>237</v>
      </c>
      <c r="I31" s="14" t="s">
        <v>238</v>
      </c>
      <c r="J31" s="15" t="str">
        <f>CONCATENATE("var. ",RIGHT(I31,2),"/",RIGHT(H31,2))</f>
        <v>var. 25/24</v>
      </c>
      <c r="K31" s="15" t="str">
        <f>CONCATENATE("dif. ",RIGHT(I31,2),"/",RIGHT(H31,2))</f>
        <v>dif. 25/24</v>
      </c>
      <c r="L31" s="15" t="str">
        <f>CONCATENATE("cuota ",I31)</f>
        <v>cuota acumulado a octubre 2025</v>
      </c>
    </row>
    <row r="32" spans="2:12" ht="15" customHeight="1" x14ac:dyDescent="0.25">
      <c r="B32" s="16" t="s">
        <v>51</v>
      </c>
      <c r="C32" s="17" t="s">
        <v>8</v>
      </c>
      <c r="D32" s="18" t="s">
        <v>32</v>
      </c>
      <c r="E32" s="67">
        <v>24453</v>
      </c>
      <c r="F32" s="67">
        <v>41481</v>
      </c>
      <c r="G32" s="67">
        <v>48608</v>
      </c>
      <c r="H32" s="67">
        <v>46696</v>
      </c>
      <c r="I32" s="67">
        <v>46403</v>
      </c>
      <c r="J32" s="20">
        <f>I32/H32-1</f>
        <v>-6.2746273770772909E-3</v>
      </c>
      <c r="K32" s="19">
        <f>I32-H32</f>
        <v>-293</v>
      </c>
      <c r="L32" s="21">
        <f>I32/$I$32</f>
        <v>1</v>
      </c>
    </row>
    <row r="33" spans="1:12" x14ac:dyDescent="0.25">
      <c r="B33" s="22"/>
      <c r="C33" s="23"/>
      <c r="D33" s="24" t="s">
        <v>33</v>
      </c>
      <c r="E33" s="68">
        <v>24453</v>
      </c>
      <c r="F33" s="68">
        <v>41481</v>
      </c>
      <c r="G33" s="68">
        <v>48608</v>
      </c>
      <c r="H33" s="68">
        <v>46696</v>
      </c>
      <c r="I33" s="68">
        <v>46403</v>
      </c>
      <c r="J33" s="26">
        <f t="shared" ref="J33:J45" si="4">I33/H33-1</f>
        <v>-6.2746273770772909E-3</v>
      </c>
      <c r="K33" s="25">
        <f t="shared" ref="K33:K42" si="5">I33-H33</f>
        <v>-293</v>
      </c>
      <c r="L33" s="27">
        <f>I33/$I$32</f>
        <v>1</v>
      </c>
    </row>
    <row r="34" spans="1:12" x14ac:dyDescent="0.25">
      <c r="B34" s="22"/>
      <c r="C34" s="28"/>
      <c r="D34" s="29" t="s">
        <v>34</v>
      </c>
      <c r="E34" s="30" t="s">
        <v>233</v>
      </c>
      <c r="F34" s="30" t="s">
        <v>233</v>
      </c>
      <c r="G34" s="30" t="s">
        <v>233</v>
      </c>
      <c r="H34" s="30" t="s">
        <v>233</v>
      </c>
      <c r="I34" s="30" t="s">
        <v>233</v>
      </c>
      <c r="J34" s="31" t="str">
        <f>IFERROR(I34/H34-1,"-")</f>
        <v>-</v>
      </c>
      <c r="K34" s="30" t="str">
        <f>IFERROR(I34-H34,"-")</f>
        <v>-</v>
      </c>
      <c r="L34" s="31" t="str">
        <f>IFERROR(I34/I32,"-")</f>
        <v>-</v>
      </c>
    </row>
    <row r="35" spans="1:12" x14ac:dyDescent="0.25">
      <c r="B35" s="22"/>
      <c r="C35" s="32" t="s">
        <v>35</v>
      </c>
      <c r="D35" s="33" t="s">
        <v>32</v>
      </c>
      <c r="E35" s="69">
        <v>25369</v>
      </c>
      <c r="F35" s="69">
        <v>43371</v>
      </c>
      <c r="G35" s="69">
        <v>50896</v>
      </c>
      <c r="H35" s="69">
        <v>49021</v>
      </c>
      <c r="I35" s="69">
        <v>48804</v>
      </c>
      <c r="J35" s="35">
        <f t="shared" si="4"/>
        <v>-4.4266742824503602E-3</v>
      </c>
      <c r="K35" s="34">
        <f t="shared" si="5"/>
        <v>-217</v>
      </c>
      <c r="L35" s="21">
        <f>I35/$I$35</f>
        <v>1</v>
      </c>
    </row>
    <row r="36" spans="1:12" x14ac:dyDescent="0.25">
      <c r="B36" s="22"/>
      <c r="C36" s="36"/>
      <c r="D36" s="4" t="s">
        <v>33</v>
      </c>
      <c r="E36" s="70">
        <v>25369</v>
      </c>
      <c r="F36" s="70">
        <v>43371</v>
      </c>
      <c r="G36" s="70">
        <v>50896</v>
      </c>
      <c r="H36" s="70">
        <v>49021</v>
      </c>
      <c r="I36" s="70">
        <v>48804</v>
      </c>
      <c r="J36" s="38">
        <f t="shared" si="4"/>
        <v>-4.4266742824503602E-3</v>
      </c>
      <c r="K36" s="37">
        <f t="shared" si="5"/>
        <v>-217</v>
      </c>
      <c r="L36" s="39">
        <f>I36/$I$35</f>
        <v>1</v>
      </c>
    </row>
    <row r="37" spans="1:12" x14ac:dyDescent="0.25">
      <c r="B37" s="22"/>
      <c r="C37" s="40"/>
      <c r="D37" s="41" t="s">
        <v>34</v>
      </c>
      <c r="E37" s="42" t="s">
        <v>233</v>
      </c>
      <c r="F37" s="42" t="s">
        <v>233</v>
      </c>
      <c r="G37" s="42" t="s">
        <v>233</v>
      </c>
      <c r="H37" s="42" t="s">
        <v>233</v>
      </c>
      <c r="I37" s="42" t="s">
        <v>233</v>
      </c>
      <c r="J37" s="43" t="str">
        <f>IFERROR(I37/H37-1,"-")</f>
        <v>-</v>
      </c>
      <c r="K37" s="42" t="str">
        <f>IFERROR(I37-H37,"-")</f>
        <v>-</v>
      </c>
      <c r="L37" s="43" t="str">
        <f>IFERROR(I37/I35,"-")</f>
        <v>-</v>
      </c>
    </row>
    <row r="38" spans="1:12" x14ac:dyDescent="0.25">
      <c r="B38" s="22"/>
      <c r="C38" s="17" t="s">
        <v>21</v>
      </c>
      <c r="D38" s="18" t="s">
        <v>32</v>
      </c>
      <c r="E38" s="67">
        <v>60016</v>
      </c>
      <c r="F38" s="67">
        <v>112590</v>
      </c>
      <c r="G38" s="67">
        <v>123254</v>
      </c>
      <c r="H38" s="67">
        <v>124009</v>
      </c>
      <c r="I38" s="67">
        <v>125599</v>
      </c>
      <c r="J38" s="20">
        <f t="shared" si="4"/>
        <v>1.2821650041529242E-2</v>
      </c>
      <c r="K38" s="19">
        <f t="shared" si="5"/>
        <v>1590</v>
      </c>
      <c r="L38" s="21">
        <f>I38/$I$38</f>
        <v>1</v>
      </c>
    </row>
    <row r="39" spans="1:12" x14ac:dyDescent="0.25">
      <c r="B39" s="22"/>
      <c r="C39" s="23"/>
      <c r="D39" s="24" t="s">
        <v>33</v>
      </c>
      <c r="E39" s="68">
        <v>60016</v>
      </c>
      <c r="F39" s="68">
        <v>112590</v>
      </c>
      <c r="G39" s="68">
        <v>123254</v>
      </c>
      <c r="H39" s="68">
        <v>124009</v>
      </c>
      <c r="I39" s="68">
        <v>125599</v>
      </c>
      <c r="J39" s="26">
        <f t="shared" si="4"/>
        <v>1.2821650041529242E-2</v>
      </c>
      <c r="K39" s="25">
        <f t="shared" si="5"/>
        <v>1590</v>
      </c>
      <c r="L39" s="27">
        <f>I39/$I$38</f>
        <v>1</v>
      </c>
    </row>
    <row r="40" spans="1:12" x14ac:dyDescent="0.25">
      <c r="B40" s="22"/>
      <c r="C40" s="28"/>
      <c r="D40" s="29" t="s">
        <v>34</v>
      </c>
      <c r="E40" s="30" t="s">
        <v>233</v>
      </c>
      <c r="F40" s="30" t="s">
        <v>233</v>
      </c>
      <c r="G40" s="30" t="s">
        <v>233</v>
      </c>
      <c r="H40" s="30" t="s">
        <v>233</v>
      </c>
      <c r="I40" s="30" t="s">
        <v>233</v>
      </c>
      <c r="J40" s="31" t="str">
        <f>IFERROR(I40/H40-1,"-")</f>
        <v>-</v>
      </c>
      <c r="K40" s="30" t="str">
        <f>IFERROR(I40-H40,"-")</f>
        <v>-</v>
      </c>
      <c r="L40" s="31" t="str">
        <f>IFERROR(I40/I38,"-")</f>
        <v>-</v>
      </c>
    </row>
    <row r="41" spans="1:12" x14ac:dyDescent="0.25">
      <c r="B41" s="22"/>
      <c r="C41" s="32" t="s">
        <v>22</v>
      </c>
      <c r="D41" s="33" t="s">
        <v>32</v>
      </c>
      <c r="E41" s="71">
        <v>2.4543409806567702</v>
      </c>
      <c r="F41" s="71">
        <v>2.7142547190279886</v>
      </c>
      <c r="G41" s="71">
        <v>2.5356731402238313</v>
      </c>
      <c r="H41" s="71">
        <v>2.6556664382388213</v>
      </c>
      <c r="I41" s="71">
        <v>2.7066999978449671</v>
      </c>
      <c r="J41" s="45">
        <f t="shared" si="4"/>
        <v>1.9216856029550922E-2</v>
      </c>
      <c r="K41" s="46">
        <f t="shared" si="5"/>
        <v>5.1033559606145751E-2</v>
      </c>
      <c r="L41" s="47"/>
    </row>
    <row r="42" spans="1:12" x14ac:dyDescent="0.25">
      <c r="B42" s="22"/>
      <c r="C42" s="36"/>
      <c r="D42" s="4" t="s">
        <v>33</v>
      </c>
      <c r="E42" s="72">
        <f t="shared" ref="E42:I42" si="6">E39/E33</f>
        <v>2.4543409806567702</v>
      </c>
      <c r="F42" s="72">
        <f t="shared" si="6"/>
        <v>2.7142547190279886</v>
      </c>
      <c r="G42" s="72">
        <f t="shared" si="6"/>
        <v>2.5356731402238313</v>
      </c>
      <c r="H42" s="72">
        <f t="shared" si="6"/>
        <v>2.6556664382388213</v>
      </c>
      <c r="I42" s="72">
        <f t="shared" si="6"/>
        <v>2.7066999978449671</v>
      </c>
      <c r="J42" s="49">
        <f t="shared" si="4"/>
        <v>1.9216856029550922E-2</v>
      </c>
      <c r="K42" s="50">
        <f t="shared" si="5"/>
        <v>5.1033559606145751E-2</v>
      </c>
      <c r="L42" s="51"/>
    </row>
    <row r="43" spans="1:12" x14ac:dyDescent="0.25">
      <c r="B43" s="22"/>
      <c r="C43" s="40"/>
      <c r="D43" s="41" t="s">
        <v>34</v>
      </c>
      <c r="E43" s="52" t="str">
        <f>IFERROR(E40/E34,"-")</f>
        <v>-</v>
      </c>
      <c r="F43" s="52" t="str">
        <f t="shared" ref="F43:I43" si="7">IFERROR(F40/F34,"-")</f>
        <v>-</v>
      </c>
      <c r="G43" s="52" t="str">
        <f t="shared" si="7"/>
        <v>-</v>
      </c>
      <c r="H43" s="52" t="str">
        <f t="shared" si="7"/>
        <v>-</v>
      </c>
      <c r="I43" s="52" t="str">
        <f t="shared" si="7"/>
        <v>-</v>
      </c>
      <c r="J43" s="43" t="str">
        <f>IFERROR(I43/H43-1,"-")</f>
        <v>-</v>
      </c>
      <c r="K43" s="42" t="str">
        <f>IFERROR(I43-H43,"-")</f>
        <v>-</v>
      </c>
      <c r="L43" s="73"/>
    </row>
    <row r="44" spans="1:12" x14ac:dyDescent="0.25">
      <c r="A44" s="74"/>
      <c r="B44" s="22"/>
      <c r="C44" s="53" t="s">
        <v>36</v>
      </c>
      <c r="D44" s="18" t="s">
        <v>32</v>
      </c>
      <c r="E44" s="75">
        <v>0.38452075858534085</v>
      </c>
      <c r="F44" s="75">
        <v>0.5682575252861729</v>
      </c>
      <c r="G44" s="75">
        <v>0.61293867828352899</v>
      </c>
      <c r="H44" s="75">
        <v>0.60414098847830855</v>
      </c>
      <c r="I44" s="75">
        <v>0.6138998592320325</v>
      </c>
      <c r="J44" s="75">
        <f t="shared" si="4"/>
        <v>1.6153300206139365E-2</v>
      </c>
      <c r="K44" s="54">
        <f>(I44-H44)*100</f>
        <v>0.97588707537239472</v>
      </c>
      <c r="L44" s="21"/>
    </row>
    <row r="45" spans="1:12" x14ac:dyDescent="0.25">
      <c r="B45" s="22"/>
      <c r="C45" s="55"/>
      <c r="D45" s="24" t="s">
        <v>33</v>
      </c>
      <c r="E45" s="76">
        <v>0.38452075858534085</v>
      </c>
      <c r="F45" s="76">
        <v>0.5682575252861729</v>
      </c>
      <c r="G45" s="76">
        <v>0.61293867828352899</v>
      </c>
      <c r="H45" s="76">
        <v>0.60414098847830855</v>
      </c>
      <c r="I45" s="76">
        <v>0.6138998592320325</v>
      </c>
      <c r="J45" s="76">
        <f t="shared" si="4"/>
        <v>1.6153300206139365E-2</v>
      </c>
      <c r="K45" s="56">
        <f>(I45-H45)*100</f>
        <v>0.97588707537239472</v>
      </c>
      <c r="L45" s="27"/>
    </row>
    <row r="46" spans="1:12" x14ac:dyDescent="0.25">
      <c r="B46" s="22"/>
      <c r="C46" s="57"/>
      <c r="D46" s="29" t="s">
        <v>34</v>
      </c>
      <c r="E46" s="77" t="s">
        <v>233</v>
      </c>
      <c r="F46" s="77" t="s">
        <v>233</v>
      </c>
      <c r="G46" s="77" t="s">
        <v>233</v>
      </c>
      <c r="H46" s="77" t="s">
        <v>233</v>
      </c>
      <c r="I46" s="77" t="s">
        <v>233</v>
      </c>
      <c r="J46" s="31" t="str">
        <f>IFERROR(I46/H46-1,"-")</f>
        <v>-</v>
      </c>
      <c r="K46" s="30" t="str">
        <f>IFERROR(I46-H46,"-")</f>
        <v>-</v>
      </c>
      <c r="L46" s="58"/>
    </row>
    <row r="47" spans="1:12" x14ac:dyDescent="0.25">
      <c r="B47" s="22"/>
      <c r="C47" s="78"/>
      <c r="D47" s="24"/>
      <c r="E47" s="79"/>
      <c r="F47" s="79"/>
      <c r="G47" s="79"/>
      <c r="H47" s="79"/>
      <c r="I47" s="79"/>
      <c r="J47" s="80"/>
      <c r="K47" s="68"/>
      <c r="L47" s="81"/>
    </row>
    <row r="48" spans="1:12" x14ac:dyDescent="0.25">
      <c r="B48" s="22"/>
      <c r="C48" s="78"/>
      <c r="D48" s="24"/>
      <c r="E48" s="79"/>
      <c r="F48" s="79"/>
      <c r="G48" s="79"/>
      <c r="H48" s="79"/>
      <c r="I48" s="79"/>
      <c r="J48" s="80"/>
      <c r="K48" s="68"/>
      <c r="L48" s="81"/>
    </row>
    <row r="49" spans="2:12" x14ac:dyDescent="0.25">
      <c r="B49" s="22"/>
      <c r="C49" s="59" t="s">
        <v>39</v>
      </c>
      <c r="D49" s="33" t="s">
        <v>32</v>
      </c>
      <c r="E49" s="69">
        <v>513</v>
      </c>
      <c r="F49" s="69">
        <v>651.6</v>
      </c>
      <c r="G49" s="69">
        <v>661.5</v>
      </c>
      <c r="H49" s="69">
        <v>673</v>
      </c>
      <c r="I49" s="69">
        <v>673</v>
      </c>
      <c r="J49" s="45">
        <f>I49/H49-1</f>
        <v>0</v>
      </c>
      <c r="K49" s="34">
        <f>I49-H49</f>
        <v>0</v>
      </c>
      <c r="L49" s="47">
        <f>I49/$I$22</f>
        <v>1</v>
      </c>
    </row>
    <row r="50" spans="2:12" x14ac:dyDescent="0.25">
      <c r="B50" s="22"/>
      <c r="C50" s="36"/>
      <c r="D50" s="4" t="s">
        <v>33</v>
      </c>
      <c r="E50" s="70">
        <v>513</v>
      </c>
      <c r="F50" s="70">
        <v>651.6</v>
      </c>
      <c r="G50" s="70">
        <v>661.5</v>
      </c>
      <c r="H50" s="70">
        <v>673</v>
      </c>
      <c r="I50" s="70">
        <v>673</v>
      </c>
      <c r="J50" s="49">
        <f>I50/H50-1</f>
        <v>0</v>
      </c>
      <c r="K50" s="37">
        <f>I50-H50</f>
        <v>0</v>
      </c>
      <c r="L50" s="51">
        <f>I50/$I$22</f>
        <v>1</v>
      </c>
    </row>
    <row r="51" spans="2:12" x14ac:dyDescent="0.25">
      <c r="B51" s="61"/>
      <c r="C51" s="40"/>
      <c r="D51" s="41" t="s">
        <v>34</v>
      </c>
      <c r="E51" s="42" t="e">
        <v>#REF!</v>
      </c>
      <c r="F51" s="42" t="e">
        <v>#REF!</v>
      </c>
      <c r="G51" s="42" t="e">
        <v>#REF!</v>
      </c>
      <c r="H51" s="42" t="e">
        <v>#REF!</v>
      </c>
      <c r="I51" s="42" t="e">
        <v>#REF!</v>
      </c>
      <c r="J51" s="43" t="str">
        <f>IFERROR(I51/H51-1,"-")</f>
        <v>-</v>
      </c>
      <c r="K51" s="42" t="str">
        <f>IFERROR(I51-H51,"-")</f>
        <v>-</v>
      </c>
      <c r="L51" s="43" t="str">
        <f>IFERROR(I51/I49,"-")</f>
        <v>-</v>
      </c>
    </row>
    <row r="52" spans="2:12" ht="6" customHeight="1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4"/>
    </row>
    <row r="53" spans="2:12" ht="28.5" customHeight="1" x14ac:dyDescent="0.25">
      <c r="B53" s="65" t="s">
        <v>40</v>
      </c>
      <c r="C53" s="66"/>
      <c r="D53" s="66"/>
      <c r="E53" s="66"/>
      <c r="F53" s="66"/>
      <c r="G53" s="66"/>
      <c r="H53" s="66"/>
      <c r="I53" s="66"/>
      <c r="J53" s="66"/>
      <c r="K53" s="66"/>
    </row>
    <row r="54" spans="2:12" x14ac:dyDescent="0.25">
      <c r="B54" s="82"/>
    </row>
    <row r="56" spans="2:12" ht="21.75" thickBot="1" x14ac:dyDescent="0.3">
      <c r="B56" s="12" t="s">
        <v>227</v>
      </c>
      <c r="C56" s="12"/>
      <c r="D56" s="12"/>
      <c r="E56" s="12"/>
      <c r="F56" s="12"/>
      <c r="G56" s="12"/>
      <c r="H56" s="12"/>
      <c r="I56" s="12"/>
      <c r="J56" s="12"/>
      <c r="K56" s="12"/>
      <c r="L56" s="13"/>
    </row>
    <row r="57" spans="2:12" ht="15.75" thickBot="1" x14ac:dyDescent="0.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2:12" x14ac:dyDescent="0.25">
      <c r="B58" s="4"/>
      <c r="C58" s="4"/>
      <c r="D58" s="4"/>
      <c r="E58" s="15">
        <v>2020</v>
      </c>
      <c r="F58" s="15">
        <v>2021</v>
      </c>
      <c r="G58" s="15">
        <v>2022</v>
      </c>
      <c r="H58" s="15">
        <v>2023</v>
      </c>
      <c r="I58" s="15">
        <v>2024</v>
      </c>
      <c r="J58" s="15" t="str">
        <f>CONCATENATE("var. ",RIGHT(I58,2),"/",RIGHT(H58,2))</f>
        <v>var. 24/23</v>
      </c>
      <c r="K58" s="15" t="str">
        <f>CONCATENATE("dif. ",RIGHT(I58,2),"/",RIGHT(H58,2))</f>
        <v>dif. 24/23</v>
      </c>
      <c r="L58" s="15" t="str">
        <f>CONCATENATE("cuota ",I58)</f>
        <v>cuota 2024</v>
      </c>
    </row>
    <row r="59" spans="2:12" x14ac:dyDescent="0.25">
      <c r="B59" s="22"/>
      <c r="C59" s="23"/>
      <c r="D59" s="24" t="s">
        <v>33</v>
      </c>
      <c r="E59" s="68">
        <v>24221</v>
      </c>
      <c r="F59" s="68">
        <v>33444</v>
      </c>
      <c r="G59" s="68">
        <v>51485</v>
      </c>
      <c r="H59" s="68">
        <v>58157</v>
      </c>
      <c r="I59" s="68">
        <v>57388</v>
      </c>
      <c r="J59" s="26">
        <f t="shared" ref="J59:J74" si="8">I59/H59-1</f>
        <v>-1.3222827862510056E-2</v>
      </c>
      <c r="K59" s="25">
        <f t="shared" ref="K59:K74" si="9">I59-H59</f>
        <v>-769</v>
      </c>
      <c r="L59" s="26" t="e">
        <f>I59/#REF!</f>
        <v>#REF!</v>
      </c>
    </row>
    <row r="60" spans="2:12" x14ac:dyDescent="0.25">
      <c r="B60" s="22"/>
      <c r="C60" s="28"/>
      <c r="D60" s="29" t="s">
        <v>34</v>
      </c>
      <c r="E60" s="30" t="s">
        <v>233</v>
      </c>
      <c r="F60" s="30" t="s">
        <v>233</v>
      </c>
      <c r="G60" s="30" t="s">
        <v>233</v>
      </c>
      <c r="H60" s="30" t="s">
        <v>233</v>
      </c>
      <c r="I60" s="30" t="s">
        <v>233</v>
      </c>
      <c r="J60" s="31" t="str">
        <f>IFERROR(I60/H60-1,"-")</f>
        <v>-</v>
      </c>
      <c r="K60" s="30" t="str">
        <f>IFERROR(I60-H60,"-")</f>
        <v>-</v>
      </c>
      <c r="L60" s="31" t="str">
        <f>IFERROR(I60/#REF!,"-")</f>
        <v>-</v>
      </c>
    </row>
    <row r="61" spans="2:12" x14ac:dyDescent="0.25">
      <c r="B61" s="22"/>
      <c r="C61" s="32" t="s">
        <v>35</v>
      </c>
      <c r="D61" s="33" t="s">
        <v>32</v>
      </c>
      <c r="E61" s="69">
        <v>24221</v>
      </c>
      <c r="F61" s="69">
        <v>33444</v>
      </c>
      <c r="G61" s="69">
        <v>51485</v>
      </c>
      <c r="H61" s="69">
        <v>58157</v>
      </c>
      <c r="I61" s="69">
        <v>57388</v>
      </c>
      <c r="J61" s="45">
        <f t="shared" si="8"/>
        <v>-1.3222827862510056E-2</v>
      </c>
      <c r="K61" s="69">
        <f t="shared" si="9"/>
        <v>-769</v>
      </c>
      <c r="L61" s="45">
        <f>I61/$I$61</f>
        <v>1</v>
      </c>
    </row>
    <row r="62" spans="2:12" x14ac:dyDescent="0.25">
      <c r="B62" s="22"/>
      <c r="C62" s="36"/>
      <c r="D62" s="4" t="s">
        <v>33</v>
      </c>
      <c r="E62" s="70">
        <v>24221</v>
      </c>
      <c r="F62" s="70">
        <v>33444</v>
      </c>
      <c r="G62" s="70">
        <v>51485</v>
      </c>
      <c r="H62" s="70">
        <v>58157</v>
      </c>
      <c r="I62" s="70">
        <v>57388</v>
      </c>
      <c r="J62" s="49">
        <f t="shared" si="8"/>
        <v>-1.3222827862510056E-2</v>
      </c>
      <c r="K62" s="70">
        <f t="shared" si="9"/>
        <v>-769</v>
      </c>
      <c r="L62" s="49">
        <f t="shared" ref="L62" si="10">I62/$I$61</f>
        <v>1</v>
      </c>
    </row>
    <row r="63" spans="2:12" x14ac:dyDescent="0.25">
      <c r="B63" s="22"/>
      <c r="C63" s="40"/>
      <c r="D63" s="41" t="s">
        <v>34</v>
      </c>
      <c r="E63" s="42" t="s">
        <v>233</v>
      </c>
      <c r="F63" s="42" t="s">
        <v>233</v>
      </c>
      <c r="G63" s="42" t="s">
        <v>233</v>
      </c>
      <c r="H63" s="42" t="s">
        <v>233</v>
      </c>
      <c r="I63" s="42" t="s">
        <v>233</v>
      </c>
      <c r="J63" s="43" t="str">
        <f>IFERROR(I63/H63-1,"-")</f>
        <v>-</v>
      </c>
      <c r="K63" s="42" t="str">
        <f>IFERROR(I63-H63,"-")</f>
        <v>-</v>
      </c>
      <c r="L63" s="83" t="str">
        <f>IFERROR(I63/I61,"-")</f>
        <v>-</v>
      </c>
    </row>
    <row r="64" spans="2:12" x14ac:dyDescent="0.25">
      <c r="B64" s="22"/>
      <c r="C64" s="17" t="s">
        <v>21</v>
      </c>
      <c r="D64" s="18" t="s">
        <v>32</v>
      </c>
      <c r="E64" s="67">
        <v>59047</v>
      </c>
      <c r="F64" s="67">
        <v>83402</v>
      </c>
      <c r="G64" s="67">
        <v>137757</v>
      </c>
      <c r="H64" s="67">
        <v>148334</v>
      </c>
      <c r="I64" s="67">
        <v>152300</v>
      </c>
      <c r="J64" s="20">
        <f t="shared" si="8"/>
        <v>2.6736958485579887E-2</v>
      </c>
      <c r="K64" s="19">
        <f t="shared" si="9"/>
        <v>3966</v>
      </c>
      <c r="L64" s="20">
        <f>I64/$I$64</f>
        <v>1</v>
      </c>
    </row>
    <row r="65" spans="2:12" x14ac:dyDescent="0.25">
      <c r="B65" s="22"/>
      <c r="C65" s="23"/>
      <c r="D65" s="24" t="s">
        <v>33</v>
      </c>
      <c r="E65" s="68">
        <v>59047</v>
      </c>
      <c r="F65" s="68">
        <v>83402</v>
      </c>
      <c r="G65" s="68">
        <v>137757</v>
      </c>
      <c r="H65" s="68">
        <v>148334</v>
      </c>
      <c r="I65" s="68">
        <v>152300</v>
      </c>
      <c r="J65" s="26">
        <f t="shared" si="8"/>
        <v>2.6736958485579887E-2</v>
      </c>
      <c r="K65" s="25">
        <f t="shared" si="9"/>
        <v>3966</v>
      </c>
      <c r="L65" s="26">
        <f t="shared" ref="L65" si="11">I65/$I$64</f>
        <v>1</v>
      </c>
    </row>
    <row r="66" spans="2:12" x14ac:dyDescent="0.25">
      <c r="B66" s="22"/>
      <c r="C66" s="28"/>
      <c r="D66" s="29" t="s">
        <v>34</v>
      </c>
      <c r="E66" s="30" t="s">
        <v>233</v>
      </c>
      <c r="F66" s="30" t="s">
        <v>233</v>
      </c>
      <c r="G66" s="30" t="s">
        <v>233</v>
      </c>
      <c r="H66" s="30" t="s">
        <v>233</v>
      </c>
      <c r="I66" s="30" t="s">
        <v>233</v>
      </c>
      <c r="J66" s="31" t="str">
        <f>IFERROR(I66/H66-1,"-")</f>
        <v>-</v>
      </c>
      <c r="K66" s="30" t="str">
        <f>IFERROR(I66-H66,"-")</f>
        <v>-</v>
      </c>
      <c r="L66" s="31" t="str">
        <f>IFERROR(I66/I64,"-")</f>
        <v>-</v>
      </c>
    </row>
    <row r="67" spans="2:12" x14ac:dyDescent="0.25">
      <c r="B67" s="22"/>
      <c r="C67" s="32" t="s">
        <v>22</v>
      </c>
      <c r="D67" s="33" t="s">
        <v>32</v>
      </c>
      <c r="E67" s="71">
        <v>2.437843193922629</v>
      </c>
      <c r="F67" s="71">
        <v>2.4937806482478173</v>
      </c>
      <c r="G67" s="71">
        <v>2.6756725259784404</v>
      </c>
      <c r="H67" s="71">
        <v>2.5505786061867015</v>
      </c>
      <c r="I67" s="71">
        <v>2.6538649194953647</v>
      </c>
      <c r="J67" s="45">
        <f t="shared" si="8"/>
        <v>4.0495248042201615E-2</v>
      </c>
      <c r="K67" s="46">
        <f t="shared" si="9"/>
        <v>0.10328631330866322</v>
      </c>
      <c r="L67" s="45"/>
    </row>
    <row r="68" spans="2:12" x14ac:dyDescent="0.25">
      <c r="B68" s="22"/>
      <c r="C68" s="36"/>
      <c r="D68" s="4" t="s">
        <v>33</v>
      </c>
      <c r="E68" s="72">
        <f t="shared" ref="E68:I68" si="12">E65/E59</f>
        <v>2.437843193922629</v>
      </c>
      <c r="F68" s="72">
        <f t="shared" si="12"/>
        <v>2.4937806482478173</v>
      </c>
      <c r="G68" s="72">
        <f t="shared" si="12"/>
        <v>2.6756725259784404</v>
      </c>
      <c r="H68" s="72">
        <f t="shared" si="12"/>
        <v>2.5505786061867015</v>
      </c>
      <c r="I68" s="72">
        <f t="shared" si="12"/>
        <v>2.6538649194953647</v>
      </c>
      <c r="J68" s="49">
        <f t="shared" si="8"/>
        <v>4.0495248042201615E-2</v>
      </c>
      <c r="K68" s="50">
        <f t="shared" si="9"/>
        <v>0.10328631330866322</v>
      </c>
      <c r="L68" s="49"/>
    </row>
    <row r="69" spans="2:12" x14ac:dyDescent="0.25">
      <c r="B69" s="22"/>
      <c r="C69" s="40"/>
      <c r="D69" s="41" t="s">
        <v>34</v>
      </c>
      <c r="E69" s="52" t="str">
        <f>IFERROR(E66/E60,"-")</f>
        <v>-</v>
      </c>
      <c r="F69" s="52" t="str">
        <f t="shared" ref="F69:I69" si="13">IFERROR(F66/F60,"-")</f>
        <v>-</v>
      </c>
      <c r="G69" s="52" t="str">
        <f t="shared" si="13"/>
        <v>-</v>
      </c>
      <c r="H69" s="52" t="str">
        <f t="shared" si="13"/>
        <v>-</v>
      </c>
      <c r="I69" s="52" t="str">
        <f t="shared" si="13"/>
        <v>-</v>
      </c>
      <c r="J69" s="43" t="str">
        <f>IFERROR(I69/H69-1,"-")</f>
        <v>-</v>
      </c>
      <c r="K69" s="42" t="str">
        <f>IFERROR(I69-H69,"-")</f>
        <v>-</v>
      </c>
      <c r="L69" s="83" t="str">
        <f>IFERROR(I69/I67,"-")</f>
        <v>-</v>
      </c>
    </row>
    <row r="70" spans="2:12" x14ac:dyDescent="0.25">
      <c r="B70" s="22"/>
      <c r="C70" s="53" t="s">
        <v>36</v>
      </c>
      <c r="D70" s="18" t="s">
        <v>32</v>
      </c>
      <c r="E70" s="75">
        <v>0.5147906295498732</v>
      </c>
      <c r="F70" s="75">
        <v>0.42945341263098274</v>
      </c>
      <c r="G70" s="75">
        <v>0.57741590694750078</v>
      </c>
      <c r="H70" s="75">
        <v>0.61259601883208059</v>
      </c>
      <c r="I70" s="75">
        <v>0.6183064169082243</v>
      </c>
      <c r="J70" s="75">
        <f t="shared" si="8"/>
        <v>9.3216375892071213E-3</v>
      </c>
      <c r="K70" s="54">
        <f t="shared" si="9"/>
        <v>5.7103980761437079E-3</v>
      </c>
      <c r="L70" s="20"/>
    </row>
    <row r="71" spans="2:12" x14ac:dyDescent="0.25">
      <c r="B71" s="22"/>
      <c r="C71" s="55"/>
      <c r="D71" s="24" t="s">
        <v>33</v>
      </c>
      <c r="E71" s="76">
        <v>0.5147906295498732</v>
      </c>
      <c r="F71" s="76">
        <v>0.42945341263098274</v>
      </c>
      <c r="G71" s="76">
        <v>0.57741590694750078</v>
      </c>
      <c r="H71" s="76">
        <v>0.61259601883208059</v>
      </c>
      <c r="I71" s="76">
        <v>0.6183064169082243</v>
      </c>
      <c r="J71" s="76">
        <f t="shared" si="8"/>
        <v>9.3216375892071213E-3</v>
      </c>
      <c r="K71" s="56">
        <f t="shared" si="9"/>
        <v>5.7103980761437079E-3</v>
      </c>
      <c r="L71" s="26"/>
    </row>
    <row r="72" spans="2:12" x14ac:dyDescent="0.25">
      <c r="B72" s="22"/>
      <c r="C72" s="57"/>
      <c r="D72" s="29" t="s">
        <v>34</v>
      </c>
      <c r="E72" s="77" t="s">
        <v>233</v>
      </c>
      <c r="F72" s="77" t="s">
        <v>233</v>
      </c>
      <c r="G72" s="77" t="s">
        <v>233</v>
      </c>
      <c r="H72" s="77" t="s">
        <v>233</v>
      </c>
      <c r="I72" s="77" t="s">
        <v>233</v>
      </c>
      <c r="J72" s="31" t="str">
        <f>IFERROR(I72/H72-1,"-")</f>
        <v>-</v>
      </c>
      <c r="K72" s="30" t="str">
        <f>IFERROR(I72-H72,"-")</f>
        <v>-</v>
      </c>
      <c r="L72" s="31" t="str">
        <f>IFERROR(I72/I70,"-")</f>
        <v>-</v>
      </c>
    </row>
    <row r="73" spans="2:12" x14ac:dyDescent="0.25">
      <c r="B73" s="22"/>
      <c r="C73" s="59" t="s">
        <v>41</v>
      </c>
      <c r="D73" s="33" t="s">
        <v>32</v>
      </c>
      <c r="E73" s="69">
        <v>339</v>
      </c>
      <c r="F73" s="69">
        <v>532</v>
      </c>
      <c r="G73" s="69">
        <v>654</v>
      </c>
      <c r="H73" s="69">
        <v>663</v>
      </c>
      <c r="I73" s="69">
        <v>673</v>
      </c>
      <c r="J73" s="45">
        <f t="shared" si="8"/>
        <v>1.5082956259426794E-2</v>
      </c>
      <c r="K73" s="34">
        <f t="shared" si="9"/>
        <v>10</v>
      </c>
      <c r="L73" s="45">
        <f>I73/$I$73</f>
        <v>1</v>
      </c>
    </row>
    <row r="74" spans="2:12" x14ac:dyDescent="0.25">
      <c r="B74" s="22"/>
      <c r="C74" s="36"/>
      <c r="D74" s="4" t="s">
        <v>33</v>
      </c>
      <c r="E74" s="70">
        <v>339</v>
      </c>
      <c r="F74" s="70">
        <v>532</v>
      </c>
      <c r="G74" s="70">
        <v>654</v>
      </c>
      <c r="H74" s="70">
        <v>663</v>
      </c>
      <c r="I74" s="70">
        <v>673</v>
      </c>
      <c r="J74" s="49">
        <f t="shared" si="8"/>
        <v>1.5082956259426794E-2</v>
      </c>
      <c r="K74" s="37">
        <f t="shared" si="9"/>
        <v>10</v>
      </c>
      <c r="L74" s="49">
        <f t="shared" ref="L74" si="14">I74/$I$73</f>
        <v>1</v>
      </c>
    </row>
    <row r="75" spans="2:12" x14ac:dyDescent="0.25">
      <c r="B75" s="61"/>
      <c r="C75" s="40"/>
      <c r="D75" s="41" t="s">
        <v>34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3" t="str">
        <f>IFERROR(I75/H75-1,"-")</f>
        <v>-</v>
      </c>
      <c r="K75" s="42">
        <f>IFERROR(I75-H75,"-")</f>
        <v>0</v>
      </c>
      <c r="L75" s="83">
        <f>IFERROR(I75/I73,"-")</f>
        <v>0</v>
      </c>
    </row>
    <row r="76" spans="2:12" x14ac:dyDescent="0.25"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4"/>
    </row>
    <row r="77" spans="2:12" ht="27" customHeight="1" x14ac:dyDescent="0.25">
      <c r="B77" s="65" t="s">
        <v>38</v>
      </c>
      <c r="C77" s="66"/>
      <c r="D77" s="66"/>
      <c r="E77" s="66"/>
      <c r="F77" s="66"/>
      <c r="G77" s="66"/>
      <c r="H77" s="66"/>
      <c r="I77" s="66"/>
      <c r="J77" s="66"/>
      <c r="K77" s="66"/>
    </row>
  </sheetData>
  <mergeCells count="30">
    <mergeCell ref="B76:K76"/>
    <mergeCell ref="B77:K77"/>
    <mergeCell ref="B52:K52"/>
    <mergeCell ref="B53:K53"/>
    <mergeCell ref="B56:K56"/>
    <mergeCell ref="B59:B75"/>
    <mergeCell ref="C59:C60"/>
    <mergeCell ref="C61:C63"/>
    <mergeCell ref="C64:C66"/>
    <mergeCell ref="C67:C69"/>
    <mergeCell ref="C70:C72"/>
    <mergeCell ref="C73:C75"/>
    <mergeCell ref="B25:K25"/>
    <mergeCell ref="B26:K26"/>
    <mergeCell ref="B29:K29"/>
    <mergeCell ref="B32:B51"/>
    <mergeCell ref="C32:C34"/>
    <mergeCell ref="C35:C37"/>
    <mergeCell ref="C38:C40"/>
    <mergeCell ref="C41:C43"/>
    <mergeCell ref="C44:C46"/>
    <mergeCell ref="C49:C51"/>
    <mergeCell ref="B4:K4"/>
    <mergeCell ref="B7:B24"/>
    <mergeCell ref="C7:C9"/>
    <mergeCell ref="C10:C12"/>
    <mergeCell ref="C13:C15"/>
    <mergeCell ref="C16:C18"/>
    <mergeCell ref="C19:C21"/>
    <mergeCell ref="C22:C2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F0277-DD4C-4164-A655-540C4DF645C5}">
  <sheetPr>
    <tabColor rgb="FFFFC000"/>
  </sheetPr>
  <dimension ref="A4:A24"/>
  <sheetViews>
    <sheetView showGridLines="0" workbookViewId="0">
      <selection activeCell="D5" sqref="D5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971BC-CF8A-4E11-B6EE-4ABA9D5F5A91}">
  <sheetPr>
    <tabColor rgb="FFFFC000"/>
  </sheetPr>
  <dimension ref="A1:V164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7" width="13.140625" customWidth="1"/>
    <col min="8" max="9" width="13.7109375" customWidth="1"/>
    <col min="11" max="18" width="11.42578125" hidden="1" customWidth="1"/>
  </cols>
  <sheetData>
    <row r="1" spans="1:18" ht="42.75" customHeight="1" x14ac:dyDescent="0.25"/>
    <row r="5" spans="1:18" ht="42" customHeight="1" thickBot="1" x14ac:dyDescent="0.3">
      <c r="B5" s="12" t="str">
        <f>CONCATENATE("Viajeros alojados en los establecimientos alojativos de según lugar de residencia y municipio de alojamiento (hotel + apartamento)")</f>
        <v>Viajeros alojados en los establecimientos alojativos de según lugar de residencia y municipio de alojamiento (hotel + apartamento)</v>
      </c>
      <c r="C5" s="12"/>
      <c r="D5" s="12"/>
      <c r="E5" s="12"/>
      <c r="F5" s="12"/>
      <c r="G5" s="12"/>
      <c r="H5" s="12"/>
      <c r="I5" s="12"/>
      <c r="K5" s="12" t="s">
        <v>273</v>
      </c>
      <c r="L5" s="12"/>
      <c r="M5" s="12"/>
      <c r="N5" s="12"/>
      <c r="O5" s="12"/>
      <c r="P5" s="12"/>
      <c r="Q5" s="12"/>
      <c r="R5" s="12"/>
    </row>
    <row r="6" spans="1:18" ht="6" customHeight="1" x14ac:dyDescent="0.25"/>
    <row r="7" spans="1:18" ht="15.75" x14ac:dyDescent="0.25">
      <c r="B7" s="174"/>
      <c r="C7" s="203" t="s">
        <v>45</v>
      </c>
      <c r="D7" s="204"/>
      <c r="E7" s="204"/>
      <c r="F7" s="204"/>
      <c r="G7" s="204"/>
      <c r="H7" s="204"/>
      <c r="I7" s="204"/>
    </row>
    <row r="8" spans="1:18" s="177" customFormat="1" ht="72" customHeight="1" x14ac:dyDescent="0.25">
      <c r="A8"/>
      <c r="B8" s="219"/>
      <c r="C8" s="205" t="s">
        <v>228</v>
      </c>
      <c r="D8" s="205" t="s">
        <v>229</v>
      </c>
      <c r="E8" s="205" t="s">
        <v>230</v>
      </c>
      <c r="F8" s="205" t="s">
        <v>231</v>
      </c>
      <c r="G8" s="205" t="s">
        <v>232</v>
      </c>
      <c r="H8" s="206" t="str">
        <f>CONCATENATE("var. ",RIGHT(G8,2),"/",RIGHT(F8,2))</f>
        <v>var. 25/24</v>
      </c>
      <c r="I8" s="206" t="str">
        <f>CONCATENATE("Cuota s/ total lugares de residencia ",RIGHT(G8,4))</f>
        <v>Cuota s/ total lugares de residencia 2025</v>
      </c>
      <c r="K8" s="219"/>
      <c r="L8" s="205" t="s">
        <v>228</v>
      </c>
      <c r="M8" s="205" t="s">
        <v>229</v>
      </c>
      <c r="N8" s="205" t="s">
        <v>230</v>
      </c>
      <c r="O8" s="205" t="s">
        <v>231</v>
      </c>
      <c r="P8" s="205" t="s">
        <v>232</v>
      </c>
      <c r="Q8" s="206" t="str">
        <f>CONCATENATE("var. ",RIGHT(P8,2),"/",RIGHT(O8,2))</f>
        <v>var. 25/24</v>
      </c>
      <c r="R8" s="206" t="str">
        <f>CONCATENATE("Cuota s/ total lugares de residencia ",RIGHT(P8,4))</f>
        <v>Cuota s/ total lugares de residencia 2025</v>
      </c>
    </row>
    <row r="9" spans="1:18" x14ac:dyDescent="0.25">
      <c r="B9" s="183" t="s">
        <v>45</v>
      </c>
      <c r="C9" s="184"/>
      <c r="D9" s="184"/>
      <c r="E9" s="184"/>
      <c r="F9" s="184"/>
      <c r="G9" s="184"/>
      <c r="H9" s="185"/>
      <c r="I9" s="185"/>
      <c r="K9" s="186" t="s">
        <v>51</v>
      </c>
      <c r="L9" s="207"/>
      <c r="M9" s="207"/>
      <c r="N9" s="207"/>
      <c r="O9" s="207"/>
      <c r="P9" s="207"/>
      <c r="Q9" s="208"/>
      <c r="R9" s="208"/>
    </row>
    <row r="10" spans="1:18" x14ac:dyDescent="0.25">
      <c r="B10" s="187" t="s">
        <v>70</v>
      </c>
      <c r="C10" s="209">
        <v>412044</v>
      </c>
      <c r="D10" s="209">
        <v>499612</v>
      </c>
      <c r="E10" s="209">
        <v>547682</v>
      </c>
      <c r="F10" s="209">
        <v>570452</v>
      </c>
      <c r="G10" s="209">
        <v>569075</v>
      </c>
      <c r="H10" s="210">
        <f t="shared" ref="H10:H22" si="0">IFERROR(G10/F10-1,"-")</f>
        <v>-2.4138753129097079E-3</v>
      </c>
      <c r="I10" s="210">
        <f t="shared" ref="I10:I22" si="1">G10/G$10</f>
        <v>1</v>
      </c>
      <c r="K10" s="187" t="s">
        <v>70</v>
      </c>
      <c r="L10" s="209">
        <v>3518</v>
      </c>
      <c r="M10" s="209">
        <v>4228</v>
      </c>
      <c r="N10" s="209">
        <v>4556</v>
      </c>
      <c r="O10" s="209">
        <v>5166</v>
      </c>
      <c r="P10" s="209">
        <v>6283</v>
      </c>
      <c r="Q10" s="210">
        <f t="shared" ref="Q10:Q22" si="2">IFERROR(P10/O10-1,"-")</f>
        <v>0.21622144792876496</v>
      </c>
      <c r="R10" s="210">
        <f t="shared" ref="R10:R22" si="3">P10/P$10</f>
        <v>1</v>
      </c>
    </row>
    <row r="11" spans="1:18" x14ac:dyDescent="0.25">
      <c r="B11" s="190" t="s">
        <v>99</v>
      </c>
      <c r="C11" s="191">
        <v>85265</v>
      </c>
      <c r="D11" s="191">
        <v>89263</v>
      </c>
      <c r="E11" s="191">
        <v>89409</v>
      </c>
      <c r="F11" s="191">
        <v>92487</v>
      </c>
      <c r="G11" s="191">
        <v>97318</v>
      </c>
      <c r="H11" s="192">
        <f t="shared" si="0"/>
        <v>5.2234368073350801E-2</v>
      </c>
      <c r="I11" s="192">
        <f t="shared" si="1"/>
        <v>0.17101085094231869</v>
      </c>
      <c r="J11" s="103"/>
      <c r="K11" s="190" t="s">
        <v>99</v>
      </c>
      <c r="L11" s="191">
        <v>2160</v>
      </c>
      <c r="M11" s="191">
        <v>2626</v>
      </c>
      <c r="N11" s="191">
        <v>2873</v>
      </c>
      <c r="O11" s="191">
        <v>3292</v>
      </c>
      <c r="P11" s="191">
        <v>4348</v>
      </c>
      <c r="Q11" s="192">
        <f t="shared" si="2"/>
        <v>0.32077764277035237</v>
      </c>
      <c r="R11" s="192">
        <f t="shared" si="3"/>
        <v>0.69202610218048699</v>
      </c>
    </row>
    <row r="12" spans="1:18" x14ac:dyDescent="0.25">
      <c r="B12" s="194" t="s">
        <v>105</v>
      </c>
      <c r="C12" s="195">
        <v>41081</v>
      </c>
      <c r="D12" s="195">
        <v>35180</v>
      </c>
      <c r="E12" s="195">
        <v>33676</v>
      </c>
      <c r="F12" s="195">
        <v>34581</v>
      </c>
      <c r="G12" s="195">
        <v>40922</v>
      </c>
      <c r="H12" s="196">
        <f t="shared" si="0"/>
        <v>0.18336658858910959</v>
      </c>
      <c r="I12" s="196">
        <f t="shared" si="1"/>
        <v>7.1909677986205678E-2</v>
      </c>
      <c r="J12" s="103"/>
      <c r="K12" s="194" t="s">
        <v>105</v>
      </c>
      <c r="L12" s="195">
        <v>1201</v>
      </c>
      <c r="M12" s="195">
        <v>1070</v>
      </c>
      <c r="N12" s="195">
        <v>677</v>
      </c>
      <c r="O12" s="195">
        <v>971</v>
      </c>
      <c r="P12" s="195">
        <v>2053</v>
      </c>
      <c r="Q12" s="196">
        <f t="shared" si="2"/>
        <v>1.1143151390319259</v>
      </c>
      <c r="R12" s="196">
        <f t="shared" si="3"/>
        <v>0.32675473499920421</v>
      </c>
    </row>
    <row r="13" spans="1:18" x14ac:dyDescent="0.25">
      <c r="B13" s="194" t="s">
        <v>102</v>
      </c>
      <c r="C13" s="195">
        <v>44184</v>
      </c>
      <c r="D13" s="195">
        <v>54083</v>
      </c>
      <c r="E13" s="195">
        <v>55733</v>
      </c>
      <c r="F13" s="195">
        <v>57906</v>
      </c>
      <c r="G13" s="195">
        <v>56396</v>
      </c>
      <c r="H13" s="196">
        <f t="shared" si="0"/>
        <v>-2.6076745069595564E-2</v>
      </c>
      <c r="I13" s="196">
        <f t="shared" si="1"/>
        <v>9.9101172956112996E-2</v>
      </c>
      <c r="J13" s="103"/>
      <c r="K13" s="194" t="s">
        <v>102</v>
      </c>
      <c r="L13" s="195">
        <v>959</v>
      </c>
      <c r="M13" s="195">
        <v>1556</v>
      </c>
      <c r="N13" s="195">
        <v>2196</v>
      </c>
      <c r="O13" s="195">
        <v>2321</v>
      </c>
      <c r="P13" s="195">
        <v>2295</v>
      </c>
      <c r="Q13" s="196">
        <f t="shared" si="2"/>
        <v>-1.1202068074105953E-2</v>
      </c>
      <c r="R13" s="196">
        <f>P13/P$10</f>
        <v>0.36527136718128284</v>
      </c>
    </row>
    <row r="14" spans="1:18" x14ac:dyDescent="0.25">
      <c r="B14" s="190" t="s">
        <v>109</v>
      </c>
      <c r="C14" s="191">
        <v>326779</v>
      </c>
      <c r="D14" s="191">
        <v>410349</v>
      </c>
      <c r="E14" s="191">
        <v>458273</v>
      </c>
      <c r="F14" s="191">
        <v>477965</v>
      </c>
      <c r="G14" s="191">
        <v>471757</v>
      </c>
      <c r="H14" s="192">
        <f t="shared" si="0"/>
        <v>-1.2988398732124762E-2</v>
      </c>
      <c r="I14" s="192">
        <f t="shared" si="1"/>
        <v>0.82898914905768128</v>
      </c>
      <c r="J14" s="103"/>
      <c r="K14" s="190" t="s">
        <v>109</v>
      </c>
      <c r="L14" s="191">
        <v>1358</v>
      </c>
      <c r="M14" s="191">
        <v>1602</v>
      </c>
      <c r="N14" s="191">
        <v>1683</v>
      </c>
      <c r="O14" s="191">
        <v>1874</v>
      </c>
      <c r="P14" s="191">
        <v>1935</v>
      </c>
      <c r="Q14" s="192">
        <f t="shared" si="2"/>
        <v>3.2550693703308431E-2</v>
      </c>
      <c r="R14" s="192">
        <f t="shared" si="3"/>
        <v>0.30797389781951295</v>
      </c>
    </row>
    <row r="15" spans="1:18" x14ac:dyDescent="0.25">
      <c r="B15" s="194" t="s">
        <v>112</v>
      </c>
      <c r="C15" s="195">
        <v>132802</v>
      </c>
      <c r="D15" s="195">
        <v>201637</v>
      </c>
      <c r="E15" s="195">
        <v>222399</v>
      </c>
      <c r="F15" s="195">
        <v>227477</v>
      </c>
      <c r="G15" s="195">
        <v>234180</v>
      </c>
      <c r="H15" s="196">
        <f t="shared" si="0"/>
        <v>2.9466715316273762E-2</v>
      </c>
      <c r="I15" s="196">
        <f t="shared" si="1"/>
        <v>0.41150990642709662</v>
      </c>
      <c r="J15" s="103"/>
      <c r="K15" s="194" t="s">
        <v>112</v>
      </c>
      <c r="L15" s="195">
        <v>172</v>
      </c>
      <c r="M15" s="195">
        <v>182</v>
      </c>
      <c r="N15" s="195">
        <v>194</v>
      </c>
      <c r="O15" s="195">
        <v>216</v>
      </c>
      <c r="P15" s="195">
        <v>192</v>
      </c>
      <c r="Q15" s="196">
        <f t="shared" si="2"/>
        <v>-0.11111111111111116</v>
      </c>
      <c r="R15" s="196">
        <f t="shared" si="3"/>
        <v>3.0558650326277255E-2</v>
      </c>
    </row>
    <row r="16" spans="1:18" x14ac:dyDescent="0.25">
      <c r="B16" s="194" t="s">
        <v>115</v>
      </c>
      <c r="C16" s="195">
        <v>45394</v>
      </c>
      <c r="D16" s="195">
        <v>39504</v>
      </c>
      <c r="E16" s="195">
        <v>45786</v>
      </c>
      <c r="F16" s="195">
        <v>49657</v>
      </c>
      <c r="G16" s="195">
        <v>47113</v>
      </c>
      <c r="H16" s="196">
        <f t="shared" si="0"/>
        <v>-5.1231447731437618E-2</v>
      </c>
      <c r="I16" s="196">
        <f t="shared" si="1"/>
        <v>8.2788736106840052E-2</v>
      </c>
      <c r="J16" s="103"/>
      <c r="K16" s="194" t="s">
        <v>115</v>
      </c>
      <c r="L16" s="195">
        <v>463</v>
      </c>
      <c r="M16" s="195">
        <v>360</v>
      </c>
      <c r="N16" s="195">
        <v>335</v>
      </c>
      <c r="O16" s="195">
        <v>363</v>
      </c>
      <c r="P16" s="195">
        <v>379</v>
      </c>
      <c r="Q16" s="196">
        <f t="shared" si="2"/>
        <v>4.4077134986225897E-2</v>
      </c>
      <c r="R16" s="196">
        <f t="shared" si="3"/>
        <v>6.0321502466974375E-2</v>
      </c>
    </row>
    <row r="17" spans="2:22" x14ac:dyDescent="0.25">
      <c r="B17" s="194" t="s">
        <v>118</v>
      </c>
      <c r="C17" s="195">
        <v>18751</v>
      </c>
      <c r="D17" s="195">
        <v>22924</v>
      </c>
      <c r="E17" s="195">
        <v>27893</v>
      </c>
      <c r="F17" s="195">
        <v>27971</v>
      </c>
      <c r="G17" s="195">
        <v>24613</v>
      </c>
      <c r="H17" s="196">
        <f t="shared" si="0"/>
        <v>-0.12005291194451395</v>
      </c>
      <c r="I17" s="196">
        <f t="shared" si="1"/>
        <v>4.3250889601546369E-2</v>
      </c>
      <c r="J17" s="103"/>
      <c r="K17" s="194" t="s">
        <v>118</v>
      </c>
      <c r="L17" s="195">
        <v>208</v>
      </c>
      <c r="M17" s="195">
        <v>224</v>
      </c>
      <c r="N17" s="195">
        <v>298</v>
      </c>
      <c r="O17" s="195">
        <v>300</v>
      </c>
      <c r="P17" s="195">
        <v>302</v>
      </c>
      <c r="Q17" s="196">
        <f t="shared" si="2"/>
        <v>6.6666666666665986E-3</v>
      </c>
      <c r="R17" s="196">
        <f t="shared" si="3"/>
        <v>4.8066210409040265E-2</v>
      </c>
    </row>
    <row r="18" spans="2:22" x14ac:dyDescent="0.25">
      <c r="B18" s="194" t="s">
        <v>125</v>
      </c>
      <c r="C18" s="195">
        <v>23109</v>
      </c>
      <c r="D18" s="195">
        <v>15513</v>
      </c>
      <c r="E18" s="195">
        <v>19208</v>
      </c>
      <c r="F18" s="195">
        <v>21688</v>
      </c>
      <c r="G18" s="195">
        <v>18427</v>
      </c>
      <c r="H18" s="196">
        <f t="shared" si="0"/>
        <v>-0.15035964588712647</v>
      </c>
      <c r="I18" s="196">
        <f t="shared" si="1"/>
        <v>3.2380617669024295E-2</v>
      </c>
      <c r="J18" s="103"/>
      <c r="K18" s="194" t="s">
        <v>125</v>
      </c>
      <c r="L18" s="195">
        <v>49</v>
      </c>
      <c r="M18" s="195">
        <v>84</v>
      </c>
      <c r="N18" s="195">
        <v>72</v>
      </c>
      <c r="O18" s="195">
        <v>81</v>
      </c>
      <c r="P18" s="195">
        <v>56</v>
      </c>
      <c r="Q18" s="196">
        <f t="shared" si="2"/>
        <v>-0.30864197530864201</v>
      </c>
      <c r="R18" s="196">
        <f t="shared" si="3"/>
        <v>8.9129396784975324E-3</v>
      </c>
    </row>
    <row r="19" spans="2:22" x14ac:dyDescent="0.25">
      <c r="B19" s="194" t="s">
        <v>121</v>
      </c>
      <c r="C19" s="195">
        <v>18824</v>
      </c>
      <c r="D19" s="195">
        <v>15521</v>
      </c>
      <c r="E19" s="195">
        <v>17225</v>
      </c>
      <c r="F19" s="195">
        <v>17030</v>
      </c>
      <c r="G19" s="195">
        <v>16621</v>
      </c>
      <c r="H19" s="196">
        <f t="shared" si="0"/>
        <v>-2.4016441573693537E-2</v>
      </c>
      <c r="I19" s="196">
        <f t="shared" si="1"/>
        <v>2.9207046522866053E-2</v>
      </c>
      <c r="J19" s="103"/>
      <c r="K19" s="194" t="s">
        <v>121</v>
      </c>
      <c r="L19" s="195">
        <v>66</v>
      </c>
      <c r="M19" s="195">
        <v>40</v>
      </c>
      <c r="N19" s="195">
        <v>45</v>
      </c>
      <c r="O19" s="195">
        <v>59</v>
      </c>
      <c r="P19" s="195">
        <v>69</v>
      </c>
      <c r="Q19" s="196">
        <f t="shared" si="2"/>
        <v>0.16949152542372881</v>
      </c>
      <c r="R19" s="196">
        <f t="shared" si="3"/>
        <v>1.0982014961005889E-2</v>
      </c>
    </row>
    <row r="20" spans="2:22" x14ac:dyDescent="0.25">
      <c r="B20" s="194" t="s">
        <v>130</v>
      </c>
      <c r="C20" s="195">
        <v>5762</v>
      </c>
      <c r="D20" s="195">
        <v>6896</v>
      </c>
      <c r="E20" s="195">
        <v>5735</v>
      </c>
      <c r="F20" s="195">
        <v>5247</v>
      </c>
      <c r="G20" s="195">
        <v>5278</v>
      </c>
      <c r="H20" s="196">
        <f t="shared" si="0"/>
        <v>5.9081379836096737E-3</v>
      </c>
      <c r="I20" s="196">
        <f t="shared" si="1"/>
        <v>9.2747001713306687E-3</v>
      </c>
      <c r="J20" s="103"/>
      <c r="K20" s="194" t="s">
        <v>130</v>
      </c>
      <c r="L20" s="195">
        <v>31</v>
      </c>
      <c r="M20" s="195">
        <v>14</v>
      </c>
      <c r="N20" s="195">
        <v>6</v>
      </c>
      <c r="O20" s="195">
        <v>10</v>
      </c>
      <c r="P20" s="195">
        <v>6</v>
      </c>
      <c r="Q20" s="196">
        <f t="shared" si="2"/>
        <v>-0.4</v>
      </c>
      <c r="R20" s="196">
        <f t="shared" si="3"/>
        <v>9.5495782269616422E-4</v>
      </c>
    </row>
    <row r="21" spans="2:22" x14ac:dyDescent="0.25">
      <c r="B21" s="194" t="s">
        <v>133</v>
      </c>
      <c r="C21" s="195">
        <v>3707</v>
      </c>
      <c r="D21" s="195">
        <v>6156</v>
      </c>
      <c r="E21" s="195">
        <v>6594</v>
      </c>
      <c r="F21" s="195">
        <v>5833</v>
      </c>
      <c r="G21" s="195">
        <v>5026</v>
      </c>
      <c r="H21" s="196">
        <f t="shared" si="0"/>
        <v>-0.13835076290073722</v>
      </c>
      <c r="I21" s="196">
        <f t="shared" si="1"/>
        <v>8.8318762904713785E-3</v>
      </c>
      <c r="J21" s="103"/>
      <c r="K21" s="194" t="s">
        <v>133</v>
      </c>
      <c r="L21" s="195">
        <v>6</v>
      </c>
      <c r="M21" s="195">
        <v>11</v>
      </c>
      <c r="N21" s="195">
        <v>16</v>
      </c>
      <c r="O21" s="195">
        <v>27</v>
      </c>
      <c r="P21" s="195">
        <v>18</v>
      </c>
      <c r="Q21" s="196">
        <f t="shared" si="2"/>
        <v>-0.33333333333333337</v>
      </c>
      <c r="R21" s="196">
        <f t="shared" si="3"/>
        <v>2.8648734680884929E-3</v>
      </c>
    </row>
    <row r="22" spans="2:22" x14ac:dyDescent="0.25">
      <c r="B22" s="199" t="s">
        <v>147</v>
      </c>
      <c r="C22" s="200">
        <f>C14-SUM(C15:C21)</f>
        <v>78430</v>
      </c>
      <c r="D22" s="200">
        <f>D14-SUM(D15:D21)</f>
        <v>102198</v>
      </c>
      <c r="E22" s="200">
        <f>E14-SUM(E15:E21)</f>
        <v>113433</v>
      </c>
      <c r="F22" s="200">
        <f>F14-SUM(F15:F21)</f>
        <v>123062</v>
      </c>
      <c r="G22" s="200">
        <f>G14-SUM(G15:G21)</f>
        <v>120499</v>
      </c>
      <c r="H22" s="201">
        <f t="shared" si="0"/>
        <v>-2.0826900261656678E-2</v>
      </c>
      <c r="I22" s="201">
        <f t="shared" si="1"/>
        <v>0.2117453762685059</v>
      </c>
      <c r="J22" s="103"/>
      <c r="K22" s="199" t="s">
        <v>147</v>
      </c>
      <c r="L22" s="200">
        <f>L14-SUM(L15:L21)</f>
        <v>363</v>
      </c>
      <c r="M22" s="200">
        <f>M14-SUM(M15:M21)</f>
        <v>687</v>
      </c>
      <c r="N22" s="200">
        <f>N14-SUM(N15:N21)</f>
        <v>717</v>
      </c>
      <c r="O22" s="200">
        <f>O14-SUM(O15:O21)</f>
        <v>818</v>
      </c>
      <c r="P22" s="200">
        <f>P14-SUM(P15:P21)</f>
        <v>913</v>
      </c>
      <c r="Q22" s="201">
        <f t="shared" si="2"/>
        <v>0.11613691931540338</v>
      </c>
      <c r="R22" s="201">
        <f t="shared" si="3"/>
        <v>0.145312748686933</v>
      </c>
    </row>
    <row r="23" spans="2:22" x14ac:dyDescent="0.25">
      <c r="B23" s="186" t="s">
        <v>46</v>
      </c>
      <c r="C23" s="207"/>
      <c r="D23" s="207"/>
      <c r="E23" s="207"/>
      <c r="F23" s="207"/>
      <c r="G23" s="207"/>
      <c r="H23" s="208"/>
      <c r="I23" s="208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</row>
    <row r="24" spans="2:22" x14ac:dyDescent="0.25">
      <c r="B24" s="187" t="s">
        <v>70</v>
      </c>
      <c r="C24" s="209">
        <v>157938</v>
      </c>
      <c r="D24" s="209">
        <v>186101</v>
      </c>
      <c r="E24" s="209">
        <v>202954</v>
      </c>
      <c r="F24" s="209">
        <v>203516</v>
      </c>
      <c r="G24" s="209">
        <v>198487</v>
      </c>
      <c r="H24" s="210">
        <f t="shared" ref="H24:H36" si="4">IFERROR(G24/F24-1,"-")</f>
        <v>-2.4710587865327538E-2</v>
      </c>
      <c r="I24" s="210">
        <f t="shared" ref="I24:I36" si="5">G24/G$10</f>
        <v>0.34878882396872118</v>
      </c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</row>
    <row r="25" spans="2:22" x14ac:dyDescent="0.25">
      <c r="B25" s="190" t="s">
        <v>99</v>
      </c>
      <c r="C25" s="191">
        <v>18331</v>
      </c>
      <c r="D25" s="191">
        <v>13996</v>
      </c>
      <c r="E25" s="191">
        <v>14026</v>
      </c>
      <c r="F25" s="191">
        <v>11998</v>
      </c>
      <c r="G25" s="191">
        <v>11748</v>
      </c>
      <c r="H25" s="192">
        <f t="shared" si="4"/>
        <v>-2.0836806134355679E-2</v>
      </c>
      <c r="I25" s="192">
        <f t="shared" si="5"/>
        <v>2.0644027588630674E-2</v>
      </c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</row>
    <row r="26" spans="2:22" x14ac:dyDescent="0.25">
      <c r="B26" s="194" t="s">
        <v>105</v>
      </c>
      <c r="C26" s="195">
        <v>7798</v>
      </c>
      <c r="D26" s="195">
        <v>4763</v>
      </c>
      <c r="E26" s="195">
        <v>5460</v>
      </c>
      <c r="F26" s="195">
        <v>4155</v>
      </c>
      <c r="G26" s="195">
        <v>5166</v>
      </c>
      <c r="H26" s="196">
        <f t="shared" si="4"/>
        <v>0.24332129963898907</v>
      </c>
      <c r="I26" s="196">
        <f t="shared" si="5"/>
        <v>9.0778895576154282E-3</v>
      </c>
    </row>
    <row r="27" spans="2:22" x14ac:dyDescent="0.25">
      <c r="B27" s="194" t="s">
        <v>102</v>
      </c>
      <c r="C27" s="195">
        <v>10533</v>
      </c>
      <c r="D27" s="195">
        <v>9233</v>
      </c>
      <c r="E27" s="195">
        <v>8566</v>
      </c>
      <c r="F27" s="195">
        <v>7843</v>
      </c>
      <c r="G27" s="195">
        <v>6582</v>
      </c>
      <c r="H27" s="196">
        <f t="shared" si="4"/>
        <v>-0.16078031365548895</v>
      </c>
      <c r="I27" s="196">
        <f t="shared" si="5"/>
        <v>1.1566138031015244E-2</v>
      </c>
    </row>
    <row r="28" spans="2:22" x14ac:dyDescent="0.25">
      <c r="B28" s="190" t="s">
        <v>109</v>
      </c>
      <c r="C28" s="191">
        <v>139607</v>
      </c>
      <c r="D28" s="191">
        <v>172105</v>
      </c>
      <c r="E28" s="191">
        <v>188928</v>
      </c>
      <c r="F28" s="191">
        <v>191518</v>
      </c>
      <c r="G28" s="191">
        <v>186739</v>
      </c>
      <c r="H28" s="192">
        <f t="shared" si="4"/>
        <v>-2.4953268100126325E-2</v>
      </c>
      <c r="I28" s="192">
        <f t="shared" si="5"/>
        <v>0.32814479638009048</v>
      </c>
    </row>
    <row r="29" spans="2:22" x14ac:dyDescent="0.25">
      <c r="B29" s="194" t="s">
        <v>112</v>
      </c>
      <c r="C29" s="195">
        <v>60774</v>
      </c>
      <c r="D29" s="195">
        <v>91730</v>
      </c>
      <c r="E29" s="195">
        <v>100727</v>
      </c>
      <c r="F29" s="195">
        <v>102322</v>
      </c>
      <c r="G29" s="195">
        <v>104367</v>
      </c>
      <c r="H29" s="196">
        <f t="shared" si="4"/>
        <v>1.9985926780164531E-2</v>
      </c>
      <c r="I29" s="196">
        <f t="shared" si="5"/>
        <v>0.18339761894302156</v>
      </c>
    </row>
    <row r="30" spans="2:22" x14ac:dyDescent="0.25">
      <c r="B30" s="194" t="s">
        <v>115</v>
      </c>
      <c r="C30" s="195">
        <v>21716</v>
      </c>
      <c r="D30" s="195">
        <v>17946</v>
      </c>
      <c r="E30" s="195">
        <v>20285</v>
      </c>
      <c r="F30" s="195">
        <v>21093</v>
      </c>
      <c r="G30" s="195">
        <v>18841</v>
      </c>
      <c r="H30" s="196">
        <f t="shared" si="4"/>
        <v>-0.1067652775802399</v>
      </c>
      <c r="I30" s="196">
        <f t="shared" si="5"/>
        <v>3.31081140447217E-2</v>
      </c>
    </row>
    <row r="31" spans="2:22" x14ac:dyDescent="0.25">
      <c r="B31" s="194" t="s">
        <v>118</v>
      </c>
      <c r="C31" s="195">
        <v>5902</v>
      </c>
      <c r="D31" s="195">
        <v>7267</v>
      </c>
      <c r="E31" s="195">
        <v>8150</v>
      </c>
      <c r="F31" s="195">
        <v>5914</v>
      </c>
      <c r="G31" s="195">
        <v>5449</v>
      </c>
      <c r="H31" s="196">
        <f t="shared" si="4"/>
        <v>-7.8626986810957034E-2</v>
      </c>
      <c r="I31" s="196">
        <f t="shared" si="5"/>
        <v>9.5751878047708999E-3</v>
      </c>
    </row>
    <row r="32" spans="2:22" x14ac:dyDescent="0.25">
      <c r="B32" s="194" t="s">
        <v>125</v>
      </c>
      <c r="C32" s="195">
        <v>10654</v>
      </c>
      <c r="D32" s="195">
        <v>7026</v>
      </c>
      <c r="E32" s="195">
        <v>8076</v>
      </c>
      <c r="F32" s="195">
        <v>8512</v>
      </c>
      <c r="G32" s="195">
        <v>7632</v>
      </c>
      <c r="H32" s="196">
        <f t="shared" si="4"/>
        <v>-0.10338345864661658</v>
      </c>
      <c r="I32" s="196">
        <f t="shared" si="5"/>
        <v>1.3411237534595616E-2</v>
      </c>
    </row>
    <row r="33" spans="2:9" x14ac:dyDescent="0.25">
      <c r="B33" s="194" t="s">
        <v>121</v>
      </c>
      <c r="C33" s="195">
        <v>10277</v>
      </c>
      <c r="D33" s="195">
        <v>8922</v>
      </c>
      <c r="E33" s="195">
        <v>9025</v>
      </c>
      <c r="F33" s="195">
        <v>8845</v>
      </c>
      <c r="G33" s="195">
        <v>8762</v>
      </c>
      <c r="H33" s="196">
        <f t="shared" si="4"/>
        <v>-9.3838326738270306E-3</v>
      </c>
      <c r="I33" s="196">
        <f t="shared" si="5"/>
        <v>1.5396916047972588E-2</v>
      </c>
    </row>
    <row r="34" spans="2:9" x14ac:dyDescent="0.25">
      <c r="B34" s="194" t="s">
        <v>130</v>
      </c>
      <c r="C34" s="195">
        <v>2047</v>
      </c>
      <c r="D34" s="195">
        <v>2643</v>
      </c>
      <c r="E34" s="195">
        <v>2231</v>
      </c>
      <c r="F34" s="195">
        <v>2202</v>
      </c>
      <c r="G34" s="195">
        <v>2301</v>
      </c>
      <c r="H34" s="196">
        <f t="shared" si="4"/>
        <v>4.4959128065395149E-2</v>
      </c>
      <c r="I34" s="196">
        <f t="shared" si="5"/>
        <v>4.0434037692747005E-3</v>
      </c>
    </row>
    <row r="35" spans="2:9" x14ac:dyDescent="0.25">
      <c r="B35" s="194" t="s">
        <v>133</v>
      </c>
      <c r="C35" s="195">
        <v>1133</v>
      </c>
      <c r="D35" s="195">
        <v>2379</v>
      </c>
      <c r="E35" s="195">
        <v>2451</v>
      </c>
      <c r="F35" s="195">
        <v>2280</v>
      </c>
      <c r="G35" s="195">
        <v>1970</v>
      </c>
      <c r="H35" s="196">
        <f t="shared" si="4"/>
        <v>-0.13596491228070173</v>
      </c>
      <c r="I35" s="196">
        <f t="shared" si="5"/>
        <v>3.4617581162412689E-3</v>
      </c>
    </row>
    <row r="36" spans="2:9" x14ac:dyDescent="0.25">
      <c r="B36" s="199" t="s">
        <v>147</v>
      </c>
      <c r="C36" s="200">
        <f>C28-SUM(C29:C35)</f>
        <v>27104</v>
      </c>
      <c r="D36" s="200">
        <f>D28-SUM(D29:D35)</f>
        <v>34192</v>
      </c>
      <c r="E36" s="200">
        <f>E28-SUM(E29:E35)</f>
        <v>37983</v>
      </c>
      <c r="F36" s="200">
        <f>F28-SUM(F29:F35)</f>
        <v>40350</v>
      </c>
      <c r="G36" s="200">
        <f>G28-SUM(G29:G35)</f>
        <v>37417</v>
      </c>
      <c r="H36" s="201">
        <f t="shared" si="4"/>
        <v>-7.2688971499380473E-2</v>
      </c>
      <c r="I36" s="201">
        <f t="shared" si="5"/>
        <v>6.5750560119492152E-2</v>
      </c>
    </row>
    <row r="37" spans="2:9" x14ac:dyDescent="0.25">
      <c r="B37" s="186" t="s">
        <v>47</v>
      </c>
      <c r="C37" s="207"/>
      <c r="D37" s="207"/>
      <c r="E37" s="207"/>
      <c r="F37" s="207"/>
      <c r="G37" s="207"/>
      <c r="H37" s="208"/>
      <c r="I37" s="208"/>
    </row>
    <row r="38" spans="2:9" x14ac:dyDescent="0.25">
      <c r="B38" s="187" t="s">
        <v>70</v>
      </c>
      <c r="C38" s="209">
        <v>102187</v>
      </c>
      <c r="D38" s="209">
        <v>133462</v>
      </c>
      <c r="E38" s="209">
        <v>142059</v>
      </c>
      <c r="F38" s="209">
        <v>146652</v>
      </c>
      <c r="G38" s="209">
        <v>153574</v>
      </c>
      <c r="H38" s="210">
        <f t="shared" ref="H38:H50" si="6">IFERROR(G38/F38-1,"-")</f>
        <v>4.7200174562910924E-2</v>
      </c>
      <c r="I38" s="210">
        <f t="shared" ref="I38:I50" si="7">G38/G$10</f>
        <v>0.26986601063128762</v>
      </c>
    </row>
    <row r="39" spans="2:9" x14ac:dyDescent="0.25">
      <c r="B39" s="190" t="s">
        <v>99</v>
      </c>
      <c r="C39" s="191">
        <v>8315</v>
      </c>
      <c r="D39" s="191">
        <v>10513</v>
      </c>
      <c r="E39" s="191">
        <v>10987</v>
      </c>
      <c r="F39" s="191">
        <v>10782</v>
      </c>
      <c r="G39" s="191">
        <v>11665</v>
      </c>
      <c r="H39" s="192">
        <f t="shared" si="6"/>
        <v>8.1895752179558468E-2</v>
      </c>
      <c r="I39" s="192">
        <f t="shared" si="7"/>
        <v>2.0498176865966701E-2</v>
      </c>
    </row>
    <row r="40" spans="2:9" x14ac:dyDescent="0.25">
      <c r="B40" s="194" t="s">
        <v>105</v>
      </c>
      <c r="C40" s="195">
        <v>3017</v>
      </c>
      <c r="D40" s="195">
        <v>3332</v>
      </c>
      <c r="E40" s="195">
        <v>4846</v>
      </c>
      <c r="F40" s="195">
        <v>4334</v>
      </c>
      <c r="G40" s="195">
        <v>5181</v>
      </c>
      <c r="H40" s="196">
        <f t="shared" si="6"/>
        <v>0.19543147208121825</v>
      </c>
      <c r="I40" s="196">
        <f t="shared" si="7"/>
        <v>9.1042481219522908E-3</v>
      </c>
    </row>
    <row r="41" spans="2:9" x14ac:dyDescent="0.25">
      <c r="B41" s="194" t="s">
        <v>102</v>
      </c>
      <c r="C41" s="195">
        <v>5298</v>
      </c>
      <c r="D41" s="195">
        <v>7181</v>
      </c>
      <c r="E41" s="195">
        <v>6141</v>
      </c>
      <c r="F41" s="195">
        <v>6448</v>
      </c>
      <c r="G41" s="195">
        <v>6484</v>
      </c>
      <c r="H41" s="196">
        <f t="shared" si="6"/>
        <v>5.5831265508685668E-3</v>
      </c>
      <c r="I41" s="196">
        <f t="shared" si="7"/>
        <v>1.139392874401441E-2</v>
      </c>
    </row>
    <row r="42" spans="2:9" x14ac:dyDescent="0.25">
      <c r="B42" s="190" t="s">
        <v>109</v>
      </c>
      <c r="C42" s="191">
        <v>93872</v>
      </c>
      <c r="D42" s="191">
        <v>122949</v>
      </c>
      <c r="E42" s="191">
        <v>131072</v>
      </c>
      <c r="F42" s="191">
        <v>135870</v>
      </c>
      <c r="G42" s="191">
        <v>141909</v>
      </c>
      <c r="H42" s="192">
        <f t="shared" si="6"/>
        <v>4.4446897769927052E-2</v>
      </c>
      <c r="I42" s="192">
        <f t="shared" si="7"/>
        <v>0.24936783376532093</v>
      </c>
    </row>
    <row r="43" spans="2:9" x14ac:dyDescent="0.25">
      <c r="B43" s="194" t="s">
        <v>112</v>
      </c>
      <c r="C43" s="195">
        <v>43972</v>
      </c>
      <c r="D43" s="195">
        <v>68112</v>
      </c>
      <c r="E43" s="195">
        <v>71602</v>
      </c>
      <c r="F43" s="195">
        <v>74208</v>
      </c>
      <c r="G43" s="195">
        <v>78556</v>
      </c>
      <c r="H43" s="196">
        <f t="shared" si="6"/>
        <v>5.8592065545493677E-2</v>
      </c>
      <c r="I43" s="196">
        <f t="shared" si="7"/>
        <v>0.13804155866977111</v>
      </c>
    </row>
    <row r="44" spans="2:9" x14ac:dyDescent="0.25">
      <c r="B44" s="194" t="s">
        <v>115</v>
      </c>
      <c r="C44" s="195">
        <v>4578</v>
      </c>
      <c r="D44" s="195">
        <v>3797</v>
      </c>
      <c r="E44" s="195">
        <v>4582</v>
      </c>
      <c r="F44" s="195">
        <v>4857</v>
      </c>
      <c r="G44" s="195">
        <v>5395</v>
      </c>
      <c r="H44" s="196">
        <f t="shared" si="6"/>
        <v>0.11076796376364006</v>
      </c>
      <c r="I44" s="196">
        <f t="shared" si="7"/>
        <v>9.4802969731581956E-3</v>
      </c>
    </row>
    <row r="45" spans="2:9" x14ac:dyDescent="0.25">
      <c r="B45" s="194" t="s">
        <v>118</v>
      </c>
      <c r="C45" s="195">
        <v>2859</v>
      </c>
      <c r="D45" s="195">
        <v>3111</v>
      </c>
      <c r="E45" s="195">
        <v>3425</v>
      </c>
      <c r="F45" s="195">
        <v>3183</v>
      </c>
      <c r="G45" s="195">
        <v>3453</v>
      </c>
      <c r="H45" s="196">
        <f t="shared" si="6"/>
        <v>8.4825636192271459E-2</v>
      </c>
      <c r="I45" s="196">
        <f t="shared" si="7"/>
        <v>6.0677415103457368E-3</v>
      </c>
    </row>
    <row r="46" spans="2:9" x14ac:dyDescent="0.25">
      <c r="B46" s="194" t="s">
        <v>125</v>
      </c>
      <c r="C46" s="195">
        <v>7622</v>
      </c>
      <c r="D46" s="195">
        <v>5171</v>
      </c>
      <c r="E46" s="195">
        <v>6460</v>
      </c>
      <c r="F46" s="195">
        <v>7247</v>
      </c>
      <c r="G46" s="195">
        <v>6130</v>
      </c>
      <c r="H46" s="196">
        <f t="shared" si="6"/>
        <v>-0.15413274458396575</v>
      </c>
      <c r="I46" s="196">
        <f t="shared" si="7"/>
        <v>1.0771866625664456E-2</v>
      </c>
    </row>
    <row r="47" spans="2:9" x14ac:dyDescent="0.25">
      <c r="B47" s="194" t="s">
        <v>121</v>
      </c>
      <c r="C47" s="195">
        <v>5467</v>
      </c>
      <c r="D47" s="195">
        <v>4578</v>
      </c>
      <c r="E47" s="195">
        <v>5249</v>
      </c>
      <c r="F47" s="195">
        <v>4872</v>
      </c>
      <c r="G47" s="195">
        <v>4706</v>
      </c>
      <c r="H47" s="196">
        <f t="shared" si="6"/>
        <v>-3.4072249589490955E-2</v>
      </c>
      <c r="I47" s="196">
        <f t="shared" si="7"/>
        <v>8.2695602512849794E-3</v>
      </c>
    </row>
    <row r="48" spans="2:9" x14ac:dyDescent="0.25">
      <c r="B48" s="194" t="s">
        <v>130</v>
      </c>
      <c r="C48" s="195">
        <v>2522</v>
      </c>
      <c r="D48" s="195">
        <v>2265</v>
      </c>
      <c r="E48" s="195">
        <v>2162</v>
      </c>
      <c r="F48" s="195">
        <v>1727</v>
      </c>
      <c r="G48" s="195">
        <v>1815</v>
      </c>
      <c r="H48" s="196">
        <f t="shared" si="6"/>
        <v>5.0955414012738842E-2</v>
      </c>
      <c r="I48" s="196">
        <f t="shared" si="7"/>
        <v>3.1893862847603566E-3</v>
      </c>
    </row>
    <row r="49" spans="2:9" x14ac:dyDescent="0.25">
      <c r="B49" s="194" t="s">
        <v>133</v>
      </c>
      <c r="C49" s="195">
        <v>1740</v>
      </c>
      <c r="D49" s="195">
        <v>2301</v>
      </c>
      <c r="E49" s="195">
        <v>2651</v>
      </c>
      <c r="F49" s="195">
        <v>2162</v>
      </c>
      <c r="G49" s="195">
        <v>1827</v>
      </c>
      <c r="H49" s="196">
        <f t="shared" si="6"/>
        <v>-0.15494912118408877</v>
      </c>
      <c r="I49" s="196">
        <f t="shared" si="7"/>
        <v>3.2104731362298466E-3</v>
      </c>
    </row>
    <row r="50" spans="2:9" x14ac:dyDescent="0.25">
      <c r="B50" s="199" t="s">
        <v>147</v>
      </c>
      <c r="C50" s="200">
        <f>C42-SUM(C43:C49)</f>
        <v>25112</v>
      </c>
      <c r="D50" s="200">
        <f>D42-SUM(D43:D49)</f>
        <v>33614</v>
      </c>
      <c r="E50" s="200">
        <f>E42-SUM(E43:E49)</f>
        <v>34941</v>
      </c>
      <c r="F50" s="200">
        <f>F42-SUM(F43:F49)</f>
        <v>37614</v>
      </c>
      <c r="G50" s="200">
        <f>G42-SUM(G43:G49)</f>
        <v>40027</v>
      </c>
      <c r="H50" s="201">
        <f t="shared" si="6"/>
        <v>6.4151645663848678E-2</v>
      </c>
      <c r="I50" s="201">
        <f t="shared" si="7"/>
        <v>7.0336950314106222E-2</v>
      </c>
    </row>
    <row r="51" spans="2:9" x14ac:dyDescent="0.25">
      <c r="B51" s="186" t="s">
        <v>48</v>
      </c>
      <c r="C51" s="207"/>
      <c r="D51" s="207"/>
      <c r="E51" s="207"/>
      <c r="F51" s="207"/>
      <c r="G51" s="207"/>
      <c r="H51" s="208"/>
      <c r="I51" s="208"/>
    </row>
    <row r="52" spans="2:9" x14ac:dyDescent="0.25">
      <c r="B52" s="187" t="s">
        <v>70</v>
      </c>
      <c r="C52" s="209">
        <v>3543</v>
      </c>
      <c r="D52" s="209">
        <v>3705</v>
      </c>
      <c r="E52" s="209">
        <v>4644</v>
      </c>
      <c r="F52" s="209">
        <v>4440</v>
      </c>
      <c r="G52" s="209">
        <v>4520</v>
      </c>
      <c r="H52" s="210">
        <f t="shared" ref="H52:H64" si="8">IFERROR(G52/F52-1,"-")</f>
        <v>1.8018018018018056E-2</v>
      </c>
      <c r="I52" s="210">
        <f t="shared" ref="I52:I64" si="9">G52/G$10</f>
        <v>7.9427140535078856E-3</v>
      </c>
    </row>
    <row r="53" spans="2:9" x14ac:dyDescent="0.25">
      <c r="B53" s="190" t="s">
        <v>99</v>
      </c>
      <c r="C53" s="191">
        <v>655</v>
      </c>
      <c r="D53" s="191">
        <v>662</v>
      </c>
      <c r="E53" s="191">
        <v>1117</v>
      </c>
      <c r="F53" s="191">
        <v>1125</v>
      </c>
      <c r="G53" s="191">
        <v>1177</v>
      </c>
      <c r="H53" s="192">
        <f t="shared" si="8"/>
        <v>4.6222222222222165E-2</v>
      </c>
      <c r="I53" s="192">
        <f t="shared" si="9"/>
        <v>2.0682686816324738E-3</v>
      </c>
    </row>
    <row r="54" spans="2:9" x14ac:dyDescent="0.25">
      <c r="B54" s="194" t="s">
        <v>105</v>
      </c>
      <c r="C54" s="195">
        <v>347</v>
      </c>
      <c r="D54" s="195">
        <v>406</v>
      </c>
      <c r="E54" s="195">
        <v>649</v>
      </c>
      <c r="F54" s="195">
        <v>804</v>
      </c>
      <c r="G54" s="195">
        <v>628</v>
      </c>
      <c r="H54" s="196">
        <f t="shared" si="8"/>
        <v>-0.21890547263681592</v>
      </c>
      <c r="I54" s="196">
        <f t="shared" si="9"/>
        <v>1.103545226903308E-3</v>
      </c>
    </row>
    <row r="55" spans="2:9" x14ac:dyDescent="0.25">
      <c r="B55" s="194" t="s">
        <v>102</v>
      </c>
      <c r="C55" s="195">
        <v>308</v>
      </c>
      <c r="D55" s="195">
        <v>256</v>
      </c>
      <c r="E55" s="195">
        <v>468</v>
      </c>
      <c r="F55" s="195">
        <v>321</v>
      </c>
      <c r="G55" s="195">
        <v>549</v>
      </c>
      <c r="H55" s="196">
        <f t="shared" si="8"/>
        <v>0.71028037383177578</v>
      </c>
      <c r="I55" s="196">
        <f t="shared" si="9"/>
        <v>9.6472345472916579E-4</v>
      </c>
    </row>
    <row r="56" spans="2:9" x14ac:dyDescent="0.25">
      <c r="B56" s="190" t="s">
        <v>109</v>
      </c>
      <c r="C56" s="191">
        <v>2888</v>
      </c>
      <c r="D56" s="191">
        <v>3043</v>
      </c>
      <c r="E56" s="191">
        <v>3527</v>
      </c>
      <c r="F56" s="191">
        <v>3315</v>
      </c>
      <c r="G56" s="191">
        <v>3343</v>
      </c>
      <c r="H56" s="192">
        <f t="shared" si="8"/>
        <v>8.4464555052790047E-3</v>
      </c>
      <c r="I56" s="192">
        <f t="shared" si="9"/>
        <v>5.8744453718754122E-3</v>
      </c>
    </row>
    <row r="57" spans="2:9" x14ac:dyDescent="0.25">
      <c r="B57" s="194" t="s">
        <v>112</v>
      </c>
      <c r="C57" s="195">
        <v>887</v>
      </c>
      <c r="D57" s="195">
        <v>1071</v>
      </c>
      <c r="E57" s="195">
        <v>983</v>
      </c>
      <c r="F57" s="195">
        <v>1149</v>
      </c>
      <c r="G57" s="195">
        <v>1158</v>
      </c>
      <c r="H57" s="196">
        <f t="shared" si="8"/>
        <v>7.8328981723236879E-3</v>
      </c>
      <c r="I57" s="196">
        <f t="shared" si="9"/>
        <v>2.0348811668057811E-3</v>
      </c>
    </row>
    <row r="58" spans="2:9" x14ac:dyDescent="0.25">
      <c r="B58" s="194" t="s">
        <v>115</v>
      </c>
      <c r="C58" s="195">
        <v>814</v>
      </c>
      <c r="D58" s="195">
        <v>608</v>
      </c>
      <c r="E58" s="195">
        <v>740</v>
      </c>
      <c r="F58" s="195">
        <v>655</v>
      </c>
      <c r="G58" s="195">
        <v>718</v>
      </c>
      <c r="H58" s="196">
        <f t="shared" si="8"/>
        <v>9.6183206106870145E-2</v>
      </c>
      <c r="I58" s="196">
        <f t="shared" si="9"/>
        <v>1.2616966129244827E-3</v>
      </c>
    </row>
    <row r="59" spans="2:9" x14ac:dyDescent="0.25">
      <c r="B59" s="194" t="s">
        <v>118</v>
      </c>
      <c r="C59" s="195">
        <v>355</v>
      </c>
      <c r="D59" s="195">
        <v>306</v>
      </c>
      <c r="E59" s="195">
        <v>297</v>
      </c>
      <c r="F59" s="195">
        <v>274</v>
      </c>
      <c r="G59" s="195">
        <v>275</v>
      </c>
      <c r="H59" s="196">
        <f t="shared" si="8"/>
        <v>3.6496350364962904E-3</v>
      </c>
      <c r="I59" s="196">
        <f t="shared" si="9"/>
        <v>4.8324034617581161E-4</v>
      </c>
    </row>
    <row r="60" spans="2:9" x14ac:dyDescent="0.25">
      <c r="B60" s="194" t="s">
        <v>125</v>
      </c>
      <c r="C60" s="195">
        <v>61</v>
      </c>
      <c r="D60" s="195">
        <v>118</v>
      </c>
      <c r="E60" s="195">
        <v>144</v>
      </c>
      <c r="F60" s="195">
        <v>110</v>
      </c>
      <c r="G60" s="195">
        <v>113</v>
      </c>
      <c r="H60" s="196">
        <f t="shared" si="8"/>
        <v>2.7272727272727337E-2</v>
      </c>
      <c r="I60" s="196">
        <f t="shared" si="9"/>
        <v>1.9856785133769714E-4</v>
      </c>
    </row>
    <row r="61" spans="2:9" x14ac:dyDescent="0.25">
      <c r="B61" s="194" t="s">
        <v>121</v>
      </c>
      <c r="C61" s="195">
        <v>73</v>
      </c>
      <c r="D61" s="195">
        <v>14</v>
      </c>
      <c r="E61" s="195">
        <v>75</v>
      </c>
      <c r="F61" s="195">
        <v>91</v>
      </c>
      <c r="G61" s="195">
        <v>66</v>
      </c>
      <c r="H61" s="196">
        <f t="shared" si="8"/>
        <v>-0.27472527472527475</v>
      </c>
      <c r="I61" s="196">
        <f t="shared" si="9"/>
        <v>1.1597768308219479E-4</v>
      </c>
    </row>
    <row r="62" spans="2:9" x14ac:dyDescent="0.25">
      <c r="B62" s="194" t="s">
        <v>130</v>
      </c>
      <c r="C62" s="195">
        <v>5</v>
      </c>
      <c r="D62" s="195">
        <v>8</v>
      </c>
      <c r="E62" s="195">
        <v>17</v>
      </c>
      <c r="F62" s="195">
        <v>4</v>
      </c>
      <c r="G62" s="195">
        <v>6</v>
      </c>
      <c r="H62" s="196">
        <f t="shared" si="8"/>
        <v>0.5</v>
      </c>
      <c r="I62" s="196">
        <f t="shared" si="9"/>
        <v>1.0543425734744981E-5</v>
      </c>
    </row>
    <row r="63" spans="2:9" x14ac:dyDescent="0.25">
      <c r="B63" s="194" t="s">
        <v>133</v>
      </c>
      <c r="C63" s="195">
        <v>21</v>
      </c>
      <c r="D63" s="195">
        <v>13</v>
      </c>
      <c r="E63" s="195">
        <v>16</v>
      </c>
      <c r="F63" s="195">
        <v>8</v>
      </c>
      <c r="G63" s="195">
        <v>18</v>
      </c>
      <c r="H63" s="196">
        <f t="shared" si="8"/>
        <v>1.25</v>
      </c>
      <c r="I63" s="196">
        <f t="shared" si="9"/>
        <v>3.1630277204234942E-5</v>
      </c>
    </row>
    <row r="64" spans="2:9" x14ac:dyDescent="0.25">
      <c r="B64" s="199" t="s">
        <v>147</v>
      </c>
      <c r="C64" s="200">
        <f>C56-SUM(C57:C63)</f>
        <v>672</v>
      </c>
      <c r="D64" s="200">
        <f>D56-SUM(D57:D63)</f>
        <v>905</v>
      </c>
      <c r="E64" s="200">
        <f>E56-SUM(E57:E63)</f>
        <v>1255</v>
      </c>
      <c r="F64" s="200">
        <f>F56-SUM(F57:F63)</f>
        <v>1024</v>
      </c>
      <c r="G64" s="200">
        <f>G56-SUM(G57:G63)</f>
        <v>989</v>
      </c>
      <c r="H64" s="201">
        <f t="shared" si="8"/>
        <v>-3.41796875E-2</v>
      </c>
      <c r="I64" s="201">
        <f t="shared" si="9"/>
        <v>1.7379080086104644E-3</v>
      </c>
    </row>
    <row r="65" spans="2:9" x14ac:dyDescent="0.25">
      <c r="B65" s="186" t="s">
        <v>49</v>
      </c>
      <c r="C65" s="207"/>
      <c r="D65" s="207"/>
      <c r="E65" s="207"/>
      <c r="F65" s="207"/>
      <c r="G65" s="207"/>
      <c r="H65" s="208"/>
      <c r="I65" s="208"/>
    </row>
    <row r="66" spans="2:9" x14ac:dyDescent="0.25">
      <c r="B66" s="187" t="s">
        <v>70</v>
      </c>
      <c r="C66" s="209">
        <v>14701</v>
      </c>
      <c r="D66" s="209">
        <v>16163</v>
      </c>
      <c r="E66" s="209">
        <v>19106</v>
      </c>
      <c r="F66" s="209">
        <v>27860</v>
      </c>
      <c r="G66" s="209">
        <v>18834</v>
      </c>
      <c r="H66" s="210">
        <f t="shared" ref="H66:H78" si="10">IFERROR(G66/F66-1,"-")</f>
        <v>-0.32397702799712846</v>
      </c>
      <c r="I66" s="210">
        <f t="shared" ref="I66:I78" si="11">G66/G$10</f>
        <v>3.3095813381364497E-2</v>
      </c>
    </row>
    <row r="67" spans="2:9" x14ac:dyDescent="0.25">
      <c r="B67" s="190" t="s">
        <v>99</v>
      </c>
      <c r="C67" s="191">
        <v>4760</v>
      </c>
      <c r="D67" s="191">
        <v>1317</v>
      </c>
      <c r="E67" s="191">
        <v>1873</v>
      </c>
      <c r="F67" s="191">
        <v>5408</v>
      </c>
      <c r="G67" s="191">
        <v>3647</v>
      </c>
      <c r="H67" s="192">
        <f t="shared" si="10"/>
        <v>-0.32562869822485208</v>
      </c>
      <c r="I67" s="192">
        <f t="shared" si="11"/>
        <v>6.4086456091024908E-3</v>
      </c>
    </row>
    <row r="68" spans="2:9" x14ac:dyDescent="0.25">
      <c r="B68" s="194" t="s">
        <v>105</v>
      </c>
      <c r="C68" s="195">
        <v>3722</v>
      </c>
      <c r="D68" s="195">
        <v>339</v>
      </c>
      <c r="E68" s="195">
        <v>132</v>
      </c>
      <c r="F68" s="195">
        <v>3070</v>
      </c>
      <c r="G68" s="195">
        <v>1455</v>
      </c>
      <c r="H68" s="196">
        <f t="shared" si="10"/>
        <v>-0.52605863192182412</v>
      </c>
      <c r="I68" s="196">
        <f t="shared" si="11"/>
        <v>2.5567807406756578E-3</v>
      </c>
    </row>
    <row r="69" spans="2:9" x14ac:dyDescent="0.25">
      <c r="B69" s="194" t="s">
        <v>102</v>
      </c>
      <c r="C69" s="195">
        <v>1038</v>
      </c>
      <c r="D69" s="195">
        <v>978</v>
      </c>
      <c r="E69" s="195">
        <v>1741</v>
      </c>
      <c r="F69" s="195">
        <v>2338</v>
      </c>
      <c r="G69" s="195">
        <v>2192</v>
      </c>
      <c r="H69" s="196">
        <f t="shared" si="10"/>
        <v>-6.2446535500427669E-2</v>
      </c>
      <c r="I69" s="196">
        <f t="shared" si="11"/>
        <v>3.851864868426833E-3</v>
      </c>
    </row>
    <row r="70" spans="2:9" x14ac:dyDescent="0.25">
      <c r="B70" s="190" t="s">
        <v>109</v>
      </c>
      <c r="C70" s="191">
        <v>9941</v>
      </c>
      <c r="D70" s="191">
        <v>14846</v>
      </c>
      <c r="E70" s="191">
        <v>17233</v>
      </c>
      <c r="F70" s="191">
        <v>22452</v>
      </c>
      <c r="G70" s="191">
        <v>15187</v>
      </c>
      <c r="H70" s="192">
        <f t="shared" si="10"/>
        <v>-0.32357919116337075</v>
      </c>
      <c r="I70" s="192">
        <f t="shared" si="11"/>
        <v>2.6687167772262006E-2</v>
      </c>
    </row>
    <row r="71" spans="2:9" x14ac:dyDescent="0.25">
      <c r="B71" s="194" t="s">
        <v>112</v>
      </c>
      <c r="C71" s="195">
        <v>4955</v>
      </c>
      <c r="D71" s="195">
        <v>6243</v>
      </c>
      <c r="E71" s="195">
        <v>5025</v>
      </c>
      <c r="F71" s="195">
        <v>8352</v>
      </c>
      <c r="G71" s="195">
        <v>7899</v>
      </c>
      <c r="H71" s="196">
        <f t="shared" si="10"/>
        <v>-5.4238505747126409E-2</v>
      </c>
      <c r="I71" s="196">
        <f t="shared" si="11"/>
        <v>1.3880419979791767E-2</v>
      </c>
    </row>
    <row r="72" spans="2:9" x14ac:dyDescent="0.25">
      <c r="B72" s="194" t="s">
        <v>115</v>
      </c>
      <c r="C72" s="195">
        <v>1083</v>
      </c>
      <c r="D72" s="195">
        <v>445</v>
      </c>
      <c r="E72" s="195">
        <v>879</v>
      </c>
      <c r="F72" s="195">
        <v>1231</v>
      </c>
      <c r="G72" s="195">
        <v>1157</v>
      </c>
      <c r="H72" s="196">
        <f t="shared" si="10"/>
        <v>-6.0113728675873279E-2</v>
      </c>
      <c r="I72" s="196">
        <f t="shared" si="11"/>
        <v>2.033123929183324E-3</v>
      </c>
    </row>
    <row r="73" spans="2:9" x14ac:dyDescent="0.25">
      <c r="B73" s="194" t="s">
        <v>118</v>
      </c>
      <c r="C73" s="195">
        <v>951</v>
      </c>
      <c r="D73" s="195">
        <v>3483</v>
      </c>
      <c r="E73" s="195">
        <v>4362</v>
      </c>
      <c r="F73" s="195">
        <v>4324</v>
      </c>
      <c r="G73" s="195">
        <v>1060</v>
      </c>
      <c r="H73" s="196">
        <f t="shared" si="10"/>
        <v>-0.75485661424606842</v>
      </c>
      <c r="I73" s="196">
        <f t="shared" si="11"/>
        <v>1.8626718798049465E-3</v>
      </c>
    </row>
    <row r="74" spans="2:9" x14ac:dyDescent="0.25">
      <c r="B74" s="194" t="s">
        <v>125</v>
      </c>
      <c r="C74" s="195">
        <v>1092</v>
      </c>
      <c r="D74" s="195">
        <v>280</v>
      </c>
      <c r="E74" s="195">
        <v>418</v>
      </c>
      <c r="F74" s="195">
        <v>1121</v>
      </c>
      <c r="G74" s="195">
        <v>645</v>
      </c>
      <c r="H74" s="196">
        <f t="shared" si="10"/>
        <v>-0.42462087421944694</v>
      </c>
      <c r="I74" s="196">
        <f t="shared" si="11"/>
        <v>1.1334182664850855E-3</v>
      </c>
    </row>
    <row r="75" spans="2:9" x14ac:dyDescent="0.25">
      <c r="B75" s="194" t="s">
        <v>121</v>
      </c>
      <c r="C75" s="195">
        <v>267</v>
      </c>
      <c r="D75" s="195">
        <v>213</v>
      </c>
      <c r="E75" s="195">
        <v>304</v>
      </c>
      <c r="F75" s="195">
        <v>590</v>
      </c>
      <c r="G75" s="195">
        <v>347</v>
      </c>
      <c r="H75" s="196">
        <f t="shared" si="10"/>
        <v>-0.41186440677966096</v>
      </c>
      <c r="I75" s="196">
        <f t="shared" si="11"/>
        <v>6.0976145499275138E-4</v>
      </c>
    </row>
    <row r="76" spans="2:9" x14ac:dyDescent="0.25">
      <c r="B76" s="194" t="s">
        <v>130</v>
      </c>
      <c r="C76" s="195">
        <v>110</v>
      </c>
      <c r="D76" s="195">
        <v>352</v>
      </c>
      <c r="E76" s="195">
        <v>284</v>
      </c>
      <c r="F76" s="195">
        <v>256</v>
      </c>
      <c r="G76" s="195">
        <v>97</v>
      </c>
      <c r="H76" s="196">
        <f t="shared" si="10"/>
        <v>-0.62109375</v>
      </c>
      <c r="I76" s="196">
        <f t="shared" si="11"/>
        <v>1.704520493783772E-4</v>
      </c>
    </row>
    <row r="77" spans="2:9" x14ac:dyDescent="0.25">
      <c r="B77" s="194" t="s">
        <v>133</v>
      </c>
      <c r="C77" s="195">
        <v>55</v>
      </c>
      <c r="D77" s="195">
        <v>48</v>
      </c>
      <c r="E77" s="195">
        <v>95</v>
      </c>
      <c r="F77" s="195">
        <v>150</v>
      </c>
      <c r="G77" s="195">
        <v>207</v>
      </c>
      <c r="H77" s="196">
        <f t="shared" si="10"/>
        <v>0.37999999999999989</v>
      </c>
      <c r="I77" s="196">
        <f t="shared" si="11"/>
        <v>3.6374818784870182E-4</v>
      </c>
    </row>
    <row r="78" spans="2:9" x14ac:dyDescent="0.25">
      <c r="B78" s="199" t="s">
        <v>147</v>
      </c>
      <c r="C78" s="200">
        <f>C70-SUM(C71:C77)</f>
        <v>1428</v>
      </c>
      <c r="D78" s="200">
        <f>D70-SUM(D71:D77)</f>
        <v>3782</v>
      </c>
      <c r="E78" s="200">
        <f>E70-SUM(E71:E77)</f>
        <v>5866</v>
      </c>
      <c r="F78" s="200">
        <f>F70-SUM(F71:F77)</f>
        <v>6428</v>
      </c>
      <c r="G78" s="200">
        <f>G70-SUM(G71:G77)</f>
        <v>3775</v>
      </c>
      <c r="H78" s="201">
        <f t="shared" si="10"/>
        <v>-0.41272557560672063</v>
      </c>
      <c r="I78" s="201">
        <f t="shared" si="11"/>
        <v>6.6335720247770501E-3</v>
      </c>
    </row>
    <row r="79" spans="2:9" x14ac:dyDescent="0.25">
      <c r="B79" s="186" t="s">
        <v>50</v>
      </c>
      <c r="C79" s="207"/>
      <c r="D79" s="207"/>
      <c r="E79" s="207"/>
      <c r="F79" s="207"/>
      <c r="G79" s="207"/>
      <c r="H79" s="208"/>
      <c r="I79" s="208"/>
    </row>
    <row r="80" spans="2:9" x14ac:dyDescent="0.25">
      <c r="B80" s="187" t="s">
        <v>70</v>
      </c>
      <c r="C80" s="209">
        <v>58767</v>
      </c>
      <c r="D80" s="209">
        <v>73725</v>
      </c>
      <c r="E80" s="209">
        <v>81280</v>
      </c>
      <c r="F80" s="209">
        <v>93990</v>
      </c>
      <c r="G80" s="209">
        <v>94842</v>
      </c>
      <c r="H80" s="210">
        <f t="shared" ref="H80:H92" si="12">IFERROR(G80/F80-1,"-")</f>
        <v>9.0647941270347587E-3</v>
      </c>
      <c r="I80" s="210">
        <f t="shared" ref="I80:I92" si="13">G80/G$10</f>
        <v>0.16665993058911391</v>
      </c>
    </row>
    <row r="81" spans="2:9" x14ac:dyDescent="0.25">
      <c r="B81" s="190" t="s">
        <v>99</v>
      </c>
      <c r="C81" s="191">
        <v>26313</v>
      </c>
      <c r="D81" s="191">
        <v>33919</v>
      </c>
      <c r="E81" s="191">
        <v>29650</v>
      </c>
      <c r="F81" s="191">
        <v>33511</v>
      </c>
      <c r="G81" s="191">
        <v>34854</v>
      </c>
      <c r="H81" s="192">
        <f t="shared" si="12"/>
        <v>4.0076392826236207E-2</v>
      </c>
      <c r="I81" s="192">
        <f t="shared" si="13"/>
        <v>6.1246760093133595E-2</v>
      </c>
    </row>
    <row r="82" spans="2:9" x14ac:dyDescent="0.25">
      <c r="B82" s="194" t="s">
        <v>105</v>
      </c>
      <c r="C82" s="195">
        <v>10331</v>
      </c>
      <c r="D82" s="195">
        <v>11235</v>
      </c>
      <c r="E82" s="195">
        <v>6821</v>
      </c>
      <c r="F82" s="195">
        <v>8344</v>
      </c>
      <c r="G82" s="195">
        <v>10420</v>
      </c>
      <c r="H82" s="196">
        <f t="shared" si="12"/>
        <v>0.24880153403643335</v>
      </c>
      <c r="I82" s="196">
        <f t="shared" si="13"/>
        <v>1.8310416026007116E-2</v>
      </c>
    </row>
    <row r="83" spans="2:9" x14ac:dyDescent="0.25">
      <c r="B83" s="194" t="s">
        <v>102</v>
      </c>
      <c r="C83" s="195">
        <v>15982</v>
      </c>
      <c r="D83" s="195">
        <v>22684</v>
      </c>
      <c r="E83" s="195">
        <v>22829</v>
      </c>
      <c r="F83" s="195">
        <v>25167</v>
      </c>
      <c r="G83" s="195">
        <v>24434</v>
      </c>
      <c r="H83" s="196">
        <f t="shared" si="12"/>
        <v>-2.9125442047125194E-2</v>
      </c>
      <c r="I83" s="196">
        <f t="shared" si="13"/>
        <v>4.2936344067126479E-2</v>
      </c>
    </row>
    <row r="84" spans="2:9" x14ac:dyDescent="0.25">
      <c r="B84" s="190" t="s">
        <v>109</v>
      </c>
      <c r="C84" s="191">
        <v>32454</v>
      </c>
      <c r="D84" s="191">
        <v>39806</v>
      </c>
      <c r="E84" s="191">
        <v>51630</v>
      </c>
      <c r="F84" s="191">
        <v>60479</v>
      </c>
      <c r="G84" s="191">
        <v>59988</v>
      </c>
      <c r="H84" s="192">
        <f t="shared" si="12"/>
        <v>-8.1185204781825115E-3</v>
      </c>
      <c r="I84" s="192">
        <f t="shared" si="13"/>
        <v>0.10541317049598031</v>
      </c>
    </row>
    <row r="85" spans="2:9" x14ac:dyDescent="0.25">
      <c r="B85" s="194" t="s">
        <v>112</v>
      </c>
      <c r="C85" s="195">
        <v>4595</v>
      </c>
      <c r="D85" s="195">
        <v>8377</v>
      </c>
      <c r="E85" s="195">
        <v>11393</v>
      </c>
      <c r="F85" s="195">
        <v>12978</v>
      </c>
      <c r="G85" s="195">
        <v>14424</v>
      </c>
      <c r="H85" s="196">
        <f t="shared" si="12"/>
        <v>0.11141932501155805</v>
      </c>
      <c r="I85" s="196">
        <f t="shared" si="13"/>
        <v>2.5346395466326933E-2</v>
      </c>
    </row>
    <row r="86" spans="2:9" x14ac:dyDescent="0.25">
      <c r="B86" s="194" t="s">
        <v>115</v>
      </c>
      <c r="C86" s="195">
        <v>11137</v>
      </c>
      <c r="D86" s="195">
        <v>11583</v>
      </c>
      <c r="E86" s="195">
        <v>13286</v>
      </c>
      <c r="F86" s="195">
        <v>16010</v>
      </c>
      <c r="G86" s="195">
        <v>14172</v>
      </c>
      <c r="H86" s="196">
        <f t="shared" si="12"/>
        <v>-0.11480324797001873</v>
      </c>
      <c r="I86" s="196">
        <f t="shared" si="13"/>
        <v>2.4903571585467646E-2</v>
      </c>
    </row>
    <row r="87" spans="2:9" x14ac:dyDescent="0.25">
      <c r="B87" s="194" t="s">
        <v>118</v>
      </c>
      <c r="C87" s="195">
        <v>3193</v>
      </c>
      <c r="D87" s="195">
        <v>3143</v>
      </c>
      <c r="E87" s="195">
        <v>5624</v>
      </c>
      <c r="F87" s="195">
        <v>6818</v>
      </c>
      <c r="G87" s="195">
        <v>6502</v>
      </c>
      <c r="H87" s="196">
        <f t="shared" si="12"/>
        <v>-4.6347902610736291E-2</v>
      </c>
      <c r="I87" s="196">
        <f t="shared" si="13"/>
        <v>1.1425559021218645E-2</v>
      </c>
    </row>
    <row r="88" spans="2:9" x14ac:dyDescent="0.25">
      <c r="B88" s="194" t="s">
        <v>125</v>
      </c>
      <c r="C88" s="195">
        <v>1259</v>
      </c>
      <c r="D88" s="195">
        <v>1106</v>
      </c>
      <c r="E88" s="195">
        <v>1670</v>
      </c>
      <c r="F88" s="195">
        <v>2507</v>
      </c>
      <c r="G88" s="195">
        <v>2040</v>
      </c>
      <c r="H88" s="196">
        <f t="shared" si="12"/>
        <v>-0.18627842042281606</v>
      </c>
      <c r="I88" s="196">
        <f t="shared" si="13"/>
        <v>3.5847647498132933E-3</v>
      </c>
    </row>
    <row r="89" spans="2:9" x14ac:dyDescent="0.25">
      <c r="B89" s="194" t="s">
        <v>121</v>
      </c>
      <c r="C89" s="195">
        <v>1067</v>
      </c>
      <c r="D89" s="195">
        <v>498</v>
      </c>
      <c r="E89" s="195">
        <v>809</v>
      </c>
      <c r="F89" s="195">
        <v>1014</v>
      </c>
      <c r="G89" s="195">
        <v>1168</v>
      </c>
      <c r="H89" s="196">
        <f t="shared" si="12"/>
        <v>0.15187376725838275</v>
      </c>
      <c r="I89" s="196">
        <f t="shared" si="13"/>
        <v>2.0524535430303564E-3</v>
      </c>
    </row>
    <row r="90" spans="2:9" x14ac:dyDescent="0.25">
      <c r="B90" s="194" t="s">
        <v>130</v>
      </c>
      <c r="C90" s="195">
        <v>491</v>
      </c>
      <c r="D90" s="195">
        <v>960</v>
      </c>
      <c r="E90" s="195">
        <v>719</v>
      </c>
      <c r="F90" s="195">
        <v>675</v>
      </c>
      <c r="G90" s="195">
        <v>729</v>
      </c>
      <c r="H90" s="196">
        <f t="shared" si="12"/>
        <v>8.0000000000000071E-2</v>
      </c>
      <c r="I90" s="196">
        <f t="shared" si="13"/>
        <v>1.2810262267715152E-3</v>
      </c>
    </row>
    <row r="91" spans="2:9" x14ac:dyDescent="0.25">
      <c r="B91" s="194" t="s">
        <v>133</v>
      </c>
      <c r="C91" s="195">
        <v>358</v>
      </c>
      <c r="D91" s="195">
        <v>978</v>
      </c>
      <c r="E91" s="195">
        <v>878</v>
      </c>
      <c r="F91" s="195">
        <v>644</v>
      </c>
      <c r="G91" s="195">
        <v>571</v>
      </c>
      <c r="H91" s="196">
        <f t="shared" si="12"/>
        <v>-0.11335403726708071</v>
      </c>
      <c r="I91" s="196">
        <f t="shared" si="13"/>
        <v>1.0033826824232307E-3</v>
      </c>
    </row>
    <row r="92" spans="2:9" x14ac:dyDescent="0.25">
      <c r="B92" s="199" t="s">
        <v>147</v>
      </c>
      <c r="C92" s="200">
        <f>C84-SUM(C85:C91)</f>
        <v>10354</v>
      </c>
      <c r="D92" s="200">
        <f>D84-SUM(D85:D91)</f>
        <v>13161</v>
      </c>
      <c r="E92" s="200">
        <f>E84-SUM(E85:E91)</f>
        <v>17251</v>
      </c>
      <c r="F92" s="200">
        <f>F84-SUM(F85:F91)</f>
        <v>19833</v>
      </c>
      <c r="G92" s="200">
        <f>G84-SUM(G85:G91)</f>
        <v>20382</v>
      </c>
      <c r="H92" s="201">
        <f t="shared" si="12"/>
        <v>2.7681137498109187E-2</v>
      </c>
      <c r="I92" s="201">
        <f t="shared" si="13"/>
        <v>3.5816017220928698E-2</v>
      </c>
    </row>
    <row r="93" spans="2:9" x14ac:dyDescent="0.25">
      <c r="B93" s="186" t="s">
        <v>51</v>
      </c>
      <c r="C93" s="207"/>
      <c r="D93" s="207"/>
      <c r="E93" s="207"/>
      <c r="F93" s="207"/>
      <c r="G93" s="207"/>
      <c r="H93" s="208"/>
      <c r="I93" s="208"/>
    </row>
    <row r="94" spans="2:9" x14ac:dyDescent="0.25">
      <c r="B94" s="187" t="s">
        <v>70</v>
      </c>
      <c r="C94" s="209">
        <v>3518</v>
      </c>
      <c r="D94" s="209">
        <v>4228</v>
      </c>
      <c r="E94" s="209">
        <v>4556</v>
      </c>
      <c r="F94" s="209">
        <v>5166</v>
      </c>
      <c r="G94" s="209">
        <v>6283</v>
      </c>
      <c r="H94" s="210">
        <f t="shared" ref="H94:H106" si="14">IFERROR(G94/F94-1,"-")</f>
        <v>0.21622144792876496</v>
      </c>
      <c r="I94" s="210">
        <f t="shared" ref="I94:I106" si="15">G94/G$10</f>
        <v>1.1040723981900452E-2</v>
      </c>
    </row>
    <row r="95" spans="2:9" x14ac:dyDescent="0.25">
      <c r="B95" s="190" t="s">
        <v>99</v>
      </c>
      <c r="C95" s="191">
        <v>2160</v>
      </c>
      <c r="D95" s="191">
        <v>2626</v>
      </c>
      <c r="E95" s="191">
        <v>2873</v>
      </c>
      <c r="F95" s="191">
        <v>3292</v>
      </c>
      <c r="G95" s="191">
        <v>4348</v>
      </c>
      <c r="H95" s="192">
        <f t="shared" si="14"/>
        <v>0.32077764277035237</v>
      </c>
      <c r="I95" s="192">
        <f t="shared" si="15"/>
        <v>7.6404691824451965E-3</v>
      </c>
    </row>
    <row r="96" spans="2:9" x14ac:dyDescent="0.25">
      <c r="B96" s="194" t="s">
        <v>105</v>
      </c>
      <c r="C96" s="195">
        <v>1201</v>
      </c>
      <c r="D96" s="195">
        <v>1070</v>
      </c>
      <c r="E96" s="195">
        <v>677</v>
      </c>
      <c r="F96" s="195">
        <v>971</v>
      </c>
      <c r="G96" s="195">
        <v>2053</v>
      </c>
      <c r="H96" s="196">
        <f t="shared" si="14"/>
        <v>1.1143151390319259</v>
      </c>
      <c r="I96" s="196">
        <f t="shared" si="15"/>
        <v>3.6076088389052408E-3</v>
      </c>
    </row>
    <row r="97" spans="2:9" x14ac:dyDescent="0.25">
      <c r="B97" s="194" t="s">
        <v>102</v>
      </c>
      <c r="C97" s="195">
        <v>959</v>
      </c>
      <c r="D97" s="195">
        <v>1556</v>
      </c>
      <c r="E97" s="195">
        <v>2196</v>
      </c>
      <c r="F97" s="195">
        <v>2321</v>
      </c>
      <c r="G97" s="195">
        <v>2295</v>
      </c>
      <c r="H97" s="196">
        <f t="shared" si="14"/>
        <v>-1.1202068074105953E-2</v>
      </c>
      <c r="I97" s="196">
        <f t="shared" si="15"/>
        <v>4.0328603435399553E-3</v>
      </c>
    </row>
    <row r="98" spans="2:9" x14ac:dyDescent="0.25">
      <c r="B98" s="190" t="s">
        <v>109</v>
      </c>
      <c r="C98" s="191">
        <v>1358</v>
      </c>
      <c r="D98" s="191">
        <v>1602</v>
      </c>
      <c r="E98" s="191">
        <v>1683</v>
      </c>
      <c r="F98" s="191">
        <v>1874</v>
      </c>
      <c r="G98" s="191">
        <v>1935</v>
      </c>
      <c r="H98" s="192">
        <f t="shared" si="14"/>
        <v>3.2550693703308431E-2</v>
      </c>
      <c r="I98" s="192">
        <f t="shared" si="15"/>
        <v>3.4002547994552565E-3</v>
      </c>
    </row>
    <row r="99" spans="2:9" x14ac:dyDescent="0.25">
      <c r="B99" s="194" t="s">
        <v>112</v>
      </c>
      <c r="C99" s="195">
        <v>172</v>
      </c>
      <c r="D99" s="195">
        <v>182</v>
      </c>
      <c r="E99" s="195">
        <v>194</v>
      </c>
      <c r="F99" s="195">
        <v>216</v>
      </c>
      <c r="G99" s="195">
        <v>192</v>
      </c>
      <c r="H99" s="196">
        <f t="shared" si="14"/>
        <v>-0.11111111111111116</v>
      </c>
      <c r="I99" s="196">
        <f t="shared" si="15"/>
        <v>3.3738962351183939E-4</v>
      </c>
    </row>
    <row r="100" spans="2:9" x14ac:dyDescent="0.25">
      <c r="B100" s="194" t="s">
        <v>115</v>
      </c>
      <c r="C100" s="195">
        <v>463</v>
      </c>
      <c r="D100" s="195">
        <v>360</v>
      </c>
      <c r="E100" s="195">
        <v>335</v>
      </c>
      <c r="F100" s="195">
        <v>363</v>
      </c>
      <c r="G100" s="195">
        <v>379</v>
      </c>
      <c r="H100" s="196">
        <f t="shared" si="14"/>
        <v>4.4077134986225897E-2</v>
      </c>
      <c r="I100" s="196">
        <f t="shared" si="15"/>
        <v>6.6599305891139131E-4</v>
      </c>
    </row>
    <row r="101" spans="2:9" x14ac:dyDescent="0.25">
      <c r="B101" s="194" t="s">
        <v>118</v>
      </c>
      <c r="C101" s="195">
        <v>208</v>
      </c>
      <c r="D101" s="195">
        <v>224</v>
      </c>
      <c r="E101" s="195">
        <v>298</v>
      </c>
      <c r="F101" s="195">
        <v>300</v>
      </c>
      <c r="G101" s="195">
        <v>302</v>
      </c>
      <c r="H101" s="196">
        <f t="shared" si="14"/>
        <v>6.6666666666665986E-3</v>
      </c>
      <c r="I101" s="196">
        <f t="shared" si="15"/>
        <v>5.3068576198216403E-4</v>
      </c>
    </row>
    <row r="102" spans="2:9" x14ac:dyDescent="0.25">
      <c r="B102" s="194" t="s">
        <v>125</v>
      </c>
      <c r="C102" s="195">
        <v>49</v>
      </c>
      <c r="D102" s="195">
        <v>84</v>
      </c>
      <c r="E102" s="195">
        <v>72</v>
      </c>
      <c r="F102" s="195">
        <v>81</v>
      </c>
      <c r="G102" s="195">
        <v>56</v>
      </c>
      <c r="H102" s="196">
        <f t="shared" si="14"/>
        <v>-0.30864197530864201</v>
      </c>
      <c r="I102" s="196">
        <f t="shared" si="15"/>
        <v>9.8405306857619817E-5</v>
      </c>
    </row>
    <row r="103" spans="2:9" x14ac:dyDescent="0.25">
      <c r="B103" s="194" t="s">
        <v>121</v>
      </c>
      <c r="C103" s="195">
        <v>66</v>
      </c>
      <c r="D103" s="195">
        <v>40</v>
      </c>
      <c r="E103" s="195">
        <v>45</v>
      </c>
      <c r="F103" s="195">
        <v>59</v>
      </c>
      <c r="G103" s="195">
        <v>69</v>
      </c>
      <c r="H103" s="196">
        <f t="shared" si="14"/>
        <v>0.16949152542372881</v>
      </c>
      <c r="I103" s="196">
        <f t="shared" si="15"/>
        <v>1.2124939594956729E-4</v>
      </c>
    </row>
    <row r="104" spans="2:9" x14ac:dyDescent="0.25">
      <c r="B104" s="194" t="s">
        <v>130</v>
      </c>
      <c r="C104" s="195">
        <v>31</v>
      </c>
      <c r="D104" s="195">
        <v>14</v>
      </c>
      <c r="E104" s="195">
        <v>6</v>
      </c>
      <c r="F104" s="195">
        <v>10</v>
      </c>
      <c r="G104" s="195">
        <v>6</v>
      </c>
      <c r="H104" s="196">
        <f t="shared" si="14"/>
        <v>-0.4</v>
      </c>
      <c r="I104" s="196">
        <f t="shared" si="15"/>
        <v>1.0543425734744981E-5</v>
      </c>
    </row>
    <row r="105" spans="2:9" x14ac:dyDescent="0.25">
      <c r="B105" s="194" t="s">
        <v>133</v>
      </c>
      <c r="C105" s="195">
        <v>6</v>
      </c>
      <c r="D105" s="195">
        <v>11</v>
      </c>
      <c r="E105" s="195">
        <v>16</v>
      </c>
      <c r="F105" s="195">
        <v>27</v>
      </c>
      <c r="G105" s="195">
        <v>18</v>
      </c>
      <c r="H105" s="196">
        <f t="shared" si="14"/>
        <v>-0.33333333333333337</v>
      </c>
      <c r="I105" s="196">
        <f t="shared" si="15"/>
        <v>3.1630277204234942E-5</v>
      </c>
    </row>
    <row r="106" spans="2:9" x14ac:dyDescent="0.25">
      <c r="B106" s="199" t="s">
        <v>147</v>
      </c>
      <c r="C106" s="200">
        <f>C98-SUM(C99:C105)</f>
        <v>363</v>
      </c>
      <c r="D106" s="200">
        <f>D98-SUM(D99:D105)</f>
        <v>687</v>
      </c>
      <c r="E106" s="200">
        <f>E98-SUM(E99:E105)</f>
        <v>717</v>
      </c>
      <c r="F106" s="200">
        <f>F98-SUM(F99:F105)</f>
        <v>818</v>
      </c>
      <c r="G106" s="200">
        <f>G98-SUM(G99:G105)</f>
        <v>913</v>
      </c>
      <c r="H106" s="201">
        <f t="shared" si="14"/>
        <v>0.11613691931540338</v>
      </c>
      <c r="I106" s="201">
        <f t="shared" si="15"/>
        <v>1.6043579493036945E-3</v>
      </c>
    </row>
    <row r="107" spans="2:9" x14ac:dyDescent="0.25">
      <c r="B107" s="186" t="s">
        <v>52</v>
      </c>
      <c r="C107" s="207"/>
      <c r="D107" s="207"/>
      <c r="E107" s="207"/>
      <c r="F107" s="207"/>
      <c r="G107" s="207"/>
      <c r="H107" s="208"/>
      <c r="I107" s="208"/>
    </row>
    <row r="108" spans="2:9" x14ac:dyDescent="0.25">
      <c r="B108" s="187" t="s">
        <v>70</v>
      </c>
      <c r="C108" s="209">
        <v>15495</v>
      </c>
      <c r="D108" s="209">
        <v>22985</v>
      </c>
      <c r="E108" s="209">
        <v>29771</v>
      </c>
      <c r="F108" s="209">
        <v>24336</v>
      </c>
      <c r="G108" s="209">
        <v>23284</v>
      </c>
      <c r="H108" s="210">
        <f t="shared" ref="H108:H120" si="16">IFERROR(G108/F108-1,"-")</f>
        <v>-4.3228139381985553E-2</v>
      </c>
      <c r="I108" s="210">
        <f t="shared" ref="I108:I120" si="17">G108/G$10</f>
        <v>4.0915520801300356E-2</v>
      </c>
    </row>
    <row r="109" spans="2:9" x14ac:dyDescent="0.25">
      <c r="B109" s="190" t="s">
        <v>99</v>
      </c>
      <c r="C109" s="191">
        <v>2156</v>
      </c>
      <c r="D109" s="191">
        <v>4883</v>
      </c>
      <c r="E109" s="191">
        <v>6370</v>
      </c>
      <c r="F109" s="191">
        <v>4123</v>
      </c>
      <c r="G109" s="191">
        <v>3952</v>
      </c>
      <c r="H109" s="192">
        <f t="shared" si="16"/>
        <v>-4.1474654377880227E-2</v>
      </c>
      <c r="I109" s="192">
        <f t="shared" si="17"/>
        <v>6.9446030839520273E-3</v>
      </c>
    </row>
    <row r="110" spans="2:9" x14ac:dyDescent="0.25">
      <c r="B110" s="194" t="s">
        <v>105</v>
      </c>
      <c r="C110" s="195">
        <v>341</v>
      </c>
      <c r="D110" s="195">
        <v>1566</v>
      </c>
      <c r="E110" s="195">
        <v>1565</v>
      </c>
      <c r="F110" s="195">
        <v>1459</v>
      </c>
      <c r="G110" s="195">
        <v>1710</v>
      </c>
      <c r="H110" s="196">
        <f t="shared" si="16"/>
        <v>0.17203564084989709</v>
      </c>
      <c r="I110" s="196">
        <f t="shared" si="17"/>
        <v>3.0048763344023197E-3</v>
      </c>
    </row>
    <row r="111" spans="2:9" x14ac:dyDescent="0.25">
      <c r="B111" s="194" t="s">
        <v>102</v>
      </c>
      <c r="C111" s="195">
        <v>1815</v>
      </c>
      <c r="D111" s="195">
        <v>3317</v>
      </c>
      <c r="E111" s="195">
        <v>4805</v>
      </c>
      <c r="F111" s="195">
        <v>2664</v>
      </c>
      <c r="G111" s="195">
        <v>2242</v>
      </c>
      <c r="H111" s="196">
        <f t="shared" si="16"/>
        <v>-0.15840840840840842</v>
      </c>
      <c r="I111" s="196">
        <f t="shared" si="17"/>
        <v>3.9397267495497081E-3</v>
      </c>
    </row>
    <row r="112" spans="2:9" x14ac:dyDescent="0.25">
      <c r="B112" s="190" t="s">
        <v>109</v>
      </c>
      <c r="C112" s="191">
        <v>13339</v>
      </c>
      <c r="D112" s="191">
        <v>18102</v>
      </c>
      <c r="E112" s="191">
        <v>23401</v>
      </c>
      <c r="F112" s="191">
        <v>20213</v>
      </c>
      <c r="G112" s="191">
        <v>19332</v>
      </c>
      <c r="H112" s="192">
        <f t="shared" si="16"/>
        <v>-4.3585811111660822E-2</v>
      </c>
      <c r="I112" s="192">
        <f t="shared" si="17"/>
        <v>3.397091771734833E-2</v>
      </c>
    </row>
    <row r="113" spans="2:9" x14ac:dyDescent="0.25">
      <c r="B113" s="194" t="s">
        <v>112</v>
      </c>
      <c r="C113" s="195">
        <v>8148</v>
      </c>
      <c r="D113" s="195">
        <v>11873</v>
      </c>
      <c r="E113" s="195">
        <v>16951</v>
      </c>
      <c r="F113" s="195">
        <v>12496</v>
      </c>
      <c r="G113" s="195">
        <v>12185</v>
      </c>
      <c r="H113" s="196">
        <f t="shared" si="16"/>
        <v>-2.4887964148527564E-2</v>
      </c>
      <c r="I113" s="196">
        <f t="shared" si="17"/>
        <v>2.1411940429644599E-2</v>
      </c>
    </row>
    <row r="114" spans="2:9" x14ac:dyDescent="0.25">
      <c r="B114" s="194" t="s">
        <v>115</v>
      </c>
      <c r="C114" s="195">
        <v>776</v>
      </c>
      <c r="D114" s="195">
        <v>567</v>
      </c>
      <c r="E114" s="195">
        <v>688</v>
      </c>
      <c r="F114" s="195">
        <v>845</v>
      </c>
      <c r="G114" s="195">
        <v>1006</v>
      </c>
      <c r="H114" s="196">
        <f t="shared" si="16"/>
        <v>0.19053254437869827</v>
      </c>
      <c r="I114" s="196">
        <f t="shared" si="17"/>
        <v>1.7677810481922418E-3</v>
      </c>
    </row>
    <row r="115" spans="2:9" x14ac:dyDescent="0.25">
      <c r="B115" s="194" t="s">
        <v>118</v>
      </c>
      <c r="C115" s="195">
        <v>817</v>
      </c>
      <c r="D115" s="195">
        <v>1241</v>
      </c>
      <c r="E115" s="195">
        <v>913</v>
      </c>
      <c r="F115" s="195">
        <v>1845</v>
      </c>
      <c r="G115" s="195">
        <v>1571</v>
      </c>
      <c r="H115" s="196">
        <f t="shared" si="16"/>
        <v>-0.14850948509485096</v>
      </c>
      <c r="I115" s="196">
        <f t="shared" si="17"/>
        <v>2.7606203048807275E-3</v>
      </c>
    </row>
    <row r="116" spans="2:9" x14ac:dyDescent="0.25">
      <c r="B116" s="194" t="s">
        <v>125</v>
      </c>
      <c r="C116" s="195">
        <v>705</v>
      </c>
      <c r="D116" s="195">
        <v>559</v>
      </c>
      <c r="E116" s="195">
        <v>1004</v>
      </c>
      <c r="F116" s="195">
        <v>833</v>
      </c>
      <c r="G116" s="195">
        <v>661</v>
      </c>
      <c r="H116" s="196">
        <f t="shared" si="16"/>
        <v>-0.20648259303721483</v>
      </c>
      <c r="I116" s="196">
        <f t="shared" si="17"/>
        <v>1.1615340684444054E-3</v>
      </c>
    </row>
    <row r="117" spans="2:9" x14ac:dyDescent="0.25">
      <c r="B117" s="194" t="s">
        <v>121</v>
      </c>
      <c r="C117" s="195">
        <v>754</v>
      </c>
      <c r="D117" s="195">
        <v>417</v>
      </c>
      <c r="E117" s="195">
        <v>480</v>
      </c>
      <c r="F117" s="195">
        <v>690</v>
      </c>
      <c r="G117" s="195">
        <v>496</v>
      </c>
      <c r="H117" s="196">
        <f t="shared" si="16"/>
        <v>-0.28115942028985508</v>
      </c>
      <c r="I117" s="196">
        <f t="shared" si="17"/>
        <v>8.7158986073891838E-4</v>
      </c>
    </row>
    <row r="118" spans="2:9" x14ac:dyDescent="0.25">
      <c r="B118" s="194" t="s">
        <v>130</v>
      </c>
      <c r="C118" s="195">
        <v>78</v>
      </c>
      <c r="D118" s="195">
        <v>388</v>
      </c>
      <c r="E118" s="195">
        <v>99</v>
      </c>
      <c r="F118" s="195">
        <v>61</v>
      </c>
      <c r="G118" s="195">
        <v>89</v>
      </c>
      <c r="H118" s="196">
        <f t="shared" si="16"/>
        <v>0.45901639344262302</v>
      </c>
      <c r="I118" s="196">
        <f t="shared" si="17"/>
        <v>1.5639414839871722E-4</v>
      </c>
    </row>
    <row r="119" spans="2:9" x14ac:dyDescent="0.25">
      <c r="B119" s="194" t="s">
        <v>133</v>
      </c>
      <c r="C119" s="195">
        <v>62</v>
      </c>
      <c r="D119" s="195">
        <v>58</v>
      </c>
      <c r="E119" s="195">
        <v>40</v>
      </c>
      <c r="F119" s="195">
        <v>47</v>
      </c>
      <c r="G119" s="195">
        <v>56</v>
      </c>
      <c r="H119" s="196">
        <f t="shared" si="16"/>
        <v>0.1914893617021276</v>
      </c>
      <c r="I119" s="196">
        <f t="shared" si="17"/>
        <v>9.8405306857619817E-5</v>
      </c>
    </row>
    <row r="120" spans="2:9" x14ac:dyDescent="0.25">
      <c r="B120" s="199" t="s">
        <v>147</v>
      </c>
      <c r="C120" s="200">
        <f>C112-SUM(C113:C119)</f>
        <v>1999</v>
      </c>
      <c r="D120" s="200">
        <f>D112-SUM(D113:D119)</f>
        <v>2999</v>
      </c>
      <c r="E120" s="200">
        <f>E112-SUM(E113:E119)</f>
        <v>3226</v>
      </c>
      <c r="F120" s="200">
        <f>F112-SUM(F113:F119)</f>
        <v>3396</v>
      </c>
      <c r="G120" s="200">
        <f>G112-SUM(G113:G119)</f>
        <v>3268</v>
      </c>
      <c r="H120" s="201">
        <f t="shared" si="16"/>
        <v>-3.7691401648998868E-2</v>
      </c>
      <c r="I120" s="201">
        <f t="shared" si="17"/>
        <v>5.7426525501910993E-3</v>
      </c>
    </row>
    <row r="121" spans="2:9" x14ac:dyDescent="0.25">
      <c r="B121" s="186" t="s">
        <v>53</v>
      </c>
      <c r="C121" s="207"/>
      <c r="D121" s="207"/>
      <c r="E121" s="207"/>
      <c r="F121" s="207"/>
      <c r="G121" s="207"/>
      <c r="H121" s="208"/>
      <c r="I121" s="208"/>
    </row>
    <row r="122" spans="2:9" x14ac:dyDescent="0.25">
      <c r="B122" s="187" t="s">
        <v>70</v>
      </c>
      <c r="C122" s="209">
        <v>20259</v>
      </c>
      <c r="D122" s="209">
        <v>22673</v>
      </c>
      <c r="E122" s="209">
        <v>21328</v>
      </c>
      <c r="F122" s="209">
        <v>20067</v>
      </c>
      <c r="G122" s="209">
        <v>25509</v>
      </c>
      <c r="H122" s="210">
        <f t="shared" ref="H122:H134" si="18">IFERROR(G122/F122-1,"-")</f>
        <v>0.27119150844670359</v>
      </c>
      <c r="I122" s="210">
        <f t="shared" ref="I122:I134" si="19">G122/G$10</f>
        <v>4.4825374511268286E-2</v>
      </c>
    </row>
    <row r="123" spans="2:9" x14ac:dyDescent="0.25">
      <c r="B123" s="190" t="s">
        <v>99</v>
      </c>
      <c r="C123" s="191">
        <v>12929</v>
      </c>
      <c r="D123" s="191">
        <v>13547</v>
      </c>
      <c r="E123" s="191">
        <v>14315</v>
      </c>
      <c r="F123" s="191">
        <v>13116</v>
      </c>
      <c r="G123" s="191">
        <v>17435</v>
      </c>
      <c r="H123" s="192">
        <f t="shared" si="18"/>
        <v>0.32929246721561456</v>
      </c>
      <c r="I123" s="192">
        <f t="shared" si="19"/>
        <v>3.0637437947546458E-2</v>
      </c>
    </row>
    <row r="124" spans="2:9" x14ac:dyDescent="0.25">
      <c r="B124" s="194" t="s">
        <v>105</v>
      </c>
      <c r="C124" s="195">
        <v>6685</v>
      </c>
      <c r="D124" s="195">
        <v>6793</v>
      </c>
      <c r="E124" s="195">
        <v>7058</v>
      </c>
      <c r="F124" s="195">
        <v>5094</v>
      </c>
      <c r="G124" s="195">
        <v>8584</v>
      </c>
      <c r="H124" s="196">
        <f t="shared" si="18"/>
        <v>0.68511974872398906</v>
      </c>
      <c r="I124" s="196">
        <f t="shared" si="19"/>
        <v>1.5084127751175153E-2</v>
      </c>
    </row>
    <row r="125" spans="2:9" x14ac:dyDescent="0.25">
      <c r="B125" s="194" t="s">
        <v>102</v>
      </c>
      <c r="C125" s="195">
        <v>6244</v>
      </c>
      <c r="D125" s="195">
        <v>6754</v>
      </c>
      <c r="E125" s="195">
        <v>7257</v>
      </c>
      <c r="F125" s="195">
        <v>8022</v>
      </c>
      <c r="G125" s="195">
        <v>8851</v>
      </c>
      <c r="H125" s="196">
        <f t="shared" si="18"/>
        <v>0.10334081276489648</v>
      </c>
      <c r="I125" s="196">
        <f t="shared" si="19"/>
        <v>1.5553310196371304E-2</v>
      </c>
    </row>
    <row r="126" spans="2:9" x14ac:dyDescent="0.25">
      <c r="B126" s="190" t="s">
        <v>109</v>
      </c>
      <c r="C126" s="191">
        <v>7330</v>
      </c>
      <c r="D126" s="191">
        <v>9126</v>
      </c>
      <c r="E126" s="191">
        <v>7013</v>
      </c>
      <c r="F126" s="191">
        <v>6951</v>
      </c>
      <c r="G126" s="191">
        <v>8074</v>
      </c>
      <c r="H126" s="192">
        <f t="shared" si="18"/>
        <v>0.16155948784347585</v>
      </c>
      <c r="I126" s="192">
        <f t="shared" si="19"/>
        <v>1.418793656372183E-2</v>
      </c>
    </row>
    <row r="127" spans="2:9" x14ac:dyDescent="0.25">
      <c r="B127" s="194" t="s">
        <v>112</v>
      </c>
      <c r="C127" s="195">
        <v>620</v>
      </c>
      <c r="D127" s="195">
        <v>1017</v>
      </c>
      <c r="E127" s="195">
        <v>898</v>
      </c>
      <c r="F127" s="195">
        <v>663</v>
      </c>
      <c r="G127" s="195">
        <v>869</v>
      </c>
      <c r="H127" s="196">
        <f t="shared" si="18"/>
        <v>0.31070889894419307</v>
      </c>
      <c r="I127" s="196">
        <f t="shared" si="19"/>
        <v>1.5270394939155647E-3</v>
      </c>
    </row>
    <row r="128" spans="2:9" x14ac:dyDescent="0.25">
      <c r="B128" s="194" t="s">
        <v>115</v>
      </c>
      <c r="C128" s="195">
        <v>1001</v>
      </c>
      <c r="D128" s="195">
        <v>1177</v>
      </c>
      <c r="E128" s="195">
        <v>952</v>
      </c>
      <c r="F128" s="195">
        <v>895</v>
      </c>
      <c r="G128" s="195">
        <v>1159</v>
      </c>
      <c r="H128" s="196">
        <f t="shared" si="18"/>
        <v>0.29497206703910606</v>
      </c>
      <c r="I128" s="196">
        <f t="shared" si="19"/>
        <v>2.0366384044282386E-3</v>
      </c>
    </row>
    <row r="129" spans="2:9" x14ac:dyDescent="0.25">
      <c r="B129" s="194" t="s">
        <v>118</v>
      </c>
      <c r="C129" s="195">
        <v>655</v>
      </c>
      <c r="D129" s="195">
        <v>677</v>
      </c>
      <c r="E129" s="195">
        <v>745</v>
      </c>
      <c r="F129" s="195">
        <v>710</v>
      </c>
      <c r="G129" s="195">
        <v>794</v>
      </c>
      <c r="H129" s="196">
        <f t="shared" si="18"/>
        <v>0.11830985915492964</v>
      </c>
      <c r="I129" s="196">
        <f t="shared" si="19"/>
        <v>1.3952466722312524E-3</v>
      </c>
    </row>
    <row r="130" spans="2:9" x14ac:dyDescent="0.25">
      <c r="B130" s="194" t="s">
        <v>125</v>
      </c>
      <c r="C130" s="195">
        <v>171</v>
      </c>
      <c r="D130" s="195">
        <v>136</v>
      </c>
      <c r="E130" s="195">
        <v>165</v>
      </c>
      <c r="F130" s="195">
        <v>130</v>
      </c>
      <c r="G130" s="195">
        <v>204</v>
      </c>
      <c r="H130" s="196">
        <f t="shared" si="18"/>
        <v>0.56923076923076921</v>
      </c>
      <c r="I130" s="196">
        <f t="shared" si="19"/>
        <v>3.5847647498132938E-4</v>
      </c>
    </row>
    <row r="131" spans="2:9" x14ac:dyDescent="0.25">
      <c r="B131" s="194" t="s">
        <v>121</v>
      </c>
      <c r="C131" s="195">
        <v>181</v>
      </c>
      <c r="D131" s="195">
        <v>116</v>
      </c>
      <c r="E131" s="195">
        <v>138</v>
      </c>
      <c r="F131" s="195">
        <v>158</v>
      </c>
      <c r="G131" s="195">
        <v>204</v>
      </c>
      <c r="H131" s="196">
        <f t="shared" si="18"/>
        <v>0.29113924050632911</v>
      </c>
      <c r="I131" s="196">
        <f t="shared" si="19"/>
        <v>3.5847647498132938E-4</v>
      </c>
    </row>
    <row r="132" spans="2:9" x14ac:dyDescent="0.25">
      <c r="B132" s="194" t="s">
        <v>130</v>
      </c>
      <c r="C132" s="195">
        <v>111</v>
      </c>
      <c r="D132" s="195">
        <v>144</v>
      </c>
      <c r="E132" s="195">
        <v>115</v>
      </c>
      <c r="F132" s="195">
        <v>114</v>
      </c>
      <c r="G132" s="195">
        <v>54</v>
      </c>
      <c r="H132" s="196">
        <f t="shared" si="18"/>
        <v>-0.52631578947368429</v>
      </c>
      <c r="I132" s="196">
        <f t="shared" si="19"/>
        <v>9.4890831612704827E-5</v>
      </c>
    </row>
    <row r="133" spans="2:9" x14ac:dyDescent="0.25">
      <c r="B133" s="194" t="s">
        <v>133</v>
      </c>
      <c r="C133" s="195">
        <v>131</v>
      </c>
      <c r="D133" s="195">
        <v>164</v>
      </c>
      <c r="E133" s="195">
        <v>244</v>
      </c>
      <c r="F133" s="195">
        <v>228</v>
      </c>
      <c r="G133" s="195">
        <v>87</v>
      </c>
      <c r="H133" s="196">
        <f t="shared" si="18"/>
        <v>-0.61842105263157898</v>
      </c>
      <c r="I133" s="196">
        <f t="shared" si="19"/>
        <v>1.5287967315380223E-4</v>
      </c>
    </row>
    <row r="134" spans="2:9" x14ac:dyDescent="0.25">
      <c r="B134" s="199" t="s">
        <v>147</v>
      </c>
      <c r="C134" s="200">
        <f>C126-SUM(C127:C133)</f>
        <v>4460</v>
      </c>
      <c r="D134" s="200">
        <f>D126-SUM(D127:D133)</f>
        <v>5695</v>
      </c>
      <c r="E134" s="200">
        <f>E126-SUM(E127:E133)</f>
        <v>3756</v>
      </c>
      <c r="F134" s="200">
        <f>F126-SUM(F127:F133)</f>
        <v>4053</v>
      </c>
      <c r="G134" s="200">
        <f>G126-SUM(G127:G133)</f>
        <v>4703</v>
      </c>
      <c r="H134" s="201">
        <f t="shared" si="18"/>
        <v>0.16037503084135207</v>
      </c>
      <c r="I134" s="201">
        <f t="shared" si="19"/>
        <v>8.2642885384176072E-3</v>
      </c>
    </row>
    <row r="135" spans="2:9" x14ac:dyDescent="0.25">
      <c r="B135" s="186" t="s">
        <v>54</v>
      </c>
      <c r="C135" s="207"/>
      <c r="D135" s="207"/>
      <c r="E135" s="207"/>
      <c r="F135" s="207"/>
      <c r="G135" s="207"/>
      <c r="H135" s="208"/>
      <c r="I135" s="208"/>
    </row>
    <row r="136" spans="2:9" x14ac:dyDescent="0.25">
      <c r="B136" s="187" t="s">
        <v>70</v>
      </c>
      <c r="C136" s="209">
        <v>25271</v>
      </c>
      <c r="D136" s="209">
        <v>25947</v>
      </c>
      <c r="E136" s="209">
        <v>29384</v>
      </c>
      <c r="F136" s="209">
        <v>31676</v>
      </c>
      <c r="G136" s="209">
        <v>30882</v>
      </c>
      <c r="H136" s="210">
        <f t="shared" ref="H136:H148" si="20">IFERROR(G136/F136-1,"-")</f>
        <v>-2.5066296249526498E-2</v>
      </c>
      <c r="I136" s="210">
        <f t="shared" ref="I136:I148" si="21">G136/G$10</f>
        <v>5.4267012256732416E-2</v>
      </c>
    </row>
    <row r="137" spans="2:9" x14ac:dyDescent="0.25">
      <c r="B137" s="190" t="s">
        <v>99</v>
      </c>
      <c r="C137" s="191">
        <v>4503</v>
      </c>
      <c r="D137" s="191">
        <v>1973</v>
      </c>
      <c r="E137" s="191">
        <v>2519</v>
      </c>
      <c r="F137" s="191">
        <v>3687</v>
      </c>
      <c r="G137" s="191">
        <v>3089</v>
      </c>
      <c r="H137" s="192">
        <f t="shared" si="20"/>
        <v>-0.16219148359099544</v>
      </c>
      <c r="I137" s="192">
        <f t="shared" si="21"/>
        <v>5.4281070157712078E-3</v>
      </c>
    </row>
    <row r="138" spans="2:9" x14ac:dyDescent="0.25">
      <c r="B138" s="194" t="s">
        <v>105</v>
      </c>
      <c r="C138" s="195">
        <v>3429</v>
      </c>
      <c r="D138" s="195">
        <v>1308</v>
      </c>
      <c r="E138" s="195">
        <v>1721</v>
      </c>
      <c r="F138" s="195">
        <v>2633</v>
      </c>
      <c r="G138" s="195">
        <v>1857</v>
      </c>
      <c r="H138" s="196">
        <f t="shared" si="20"/>
        <v>-0.29472085074060006</v>
      </c>
      <c r="I138" s="196">
        <f t="shared" si="21"/>
        <v>3.2631902649035717E-3</v>
      </c>
    </row>
    <row r="139" spans="2:9" x14ac:dyDescent="0.25">
      <c r="B139" s="194" t="s">
        <v>102</v>
      </c>
      <c r="C139" s="195">
        <v>1074</v>
      </c>
      <c r="D139" s="195">
        <v>665</v>
      </c>
      <c r="E139" s="195">
        <v>798</v>
      </c>
      <c r="F139" s="195">
        <v>1054</v>
      </c>
      <c r="G139" s="195">
        <v>1232</v>
      </c>
      <c r="H139" s="196">
        <f t="shared" si="20"/>
        <v>0.1688804554079697</v>
      </c>
      <c r="I139" s="196">
        <f t="shared" si="21"/>
        <v>2.1649167508676361E-3</v>
      </c>
    </row>
    <row r="140" spans="2:9" x14ac:dyDescent="0.25">
      <c r="B140" s="190" t="s">
        <v>109</v>
      </c>
      <c r="C140" s="191">
        <v>20768</v>
      </c>
      <c r="D140" s="191">
        <v>23974</v>
      </c>
      <c r="E140" s="191">
        <v>26865</v>
      </c>
      <c r="F140" s="191">
        <v>27989</v>
      </c>
      <c r="G140" s="191">
        <v>27793</v>
      </c>
      <c r="H140" s="192">
        <f t="shared" si="20"/>
        <v>-7.0027510807817439E-3</v>
      </c>
      <c r="I140" s="192">
        <f t="shared" si="21"/>
        <v>4.8838905240961211E-2</v>
      </c>
    </row>
    <row r="141" spans="2:9" x14ac:dyDescent="0.25">
      <c r="B141" s="194" t="s">
        <v>112</v>
      </c>
      <c r="C141" s="195">
        <v>7645</v>
      </c>
      <c r="D141" s="195">
        <v>11480</v>
      </c>
      <c r="E141" s="195">
        <v>12844</v>
      </c>
      <c r="F141" s="195">
        <v>13327</v>
      </c>
      <c r="G141" s="195">
        <v>13024</v>
      </c>
      <c r="H141" s="196">
        <f t="shared" si="20"/>
        <v>-2.2735799504764787E-2</v>
      </c>
      <c r="I141" s="196">
        <f t="shared" si="21"/>
        <v>2.2886262794886439E-2</v>
      </c>
    </row>
    <row r="142" spans="2:9" x14ac:dyDescent="0.25">
      <c r="B142" s="194" t="s">
        <v>115</v>
      </c>
      <c r="C142" s="195">
        <v>2033</v>
      </c>
      <c r="D142" s="195">
        <v>1887</v>
      </c>
      <c r="E142" s="195">
        <v>2549</v>
      </c>
      <c r="F142" s="195">
        <v>2369</v>
      </c>
      <c r="G142" s="195">
        <v>2778</v>
      </c>
      <c r="H142" s="196">
        <f t="shared" si="20"/>
        <v>0.17264668636555514</v>
      </c>
      <c r="I142" s="196">
        <f t="shared" si="21"/>
        <v>4.8816061151869261E-3</v>
      </c>
    </row>
    <row r="143" spans="2:9" x14ac:dyDescent="0.25">
      <c r="B143" s="194" t="s">
        <v>118</v>
      </c>
      <c r="C143" s="195">
        <v>3065</v>
      </c>
      <c r="D143" s="195">
        <v>2954</v>
      </c>
      <c r="E143" s="195">
        <v>2891</v>
      </c>
      <c r="F143" s="195">
        <v>3079</v>
      </c>
      <c r="G143" s="195">
        <v>3216</v>
      </c>
      <c r="H143" s="196">
        <f t="shared" si="20"/>
        <v>4.4494965898018934E-2</v>
      </c>
      <c r="I143" s="196">
        <f t="shared" si="21"/>
        <v>5.65127619382331E-3</v>
      </c>
    </row>
    <row r="144" spans="2:9" x14ac:dyDescent="0.25">
      <c r="B144" s="194" t="s">
        <v>125</v>
      </c>
      <c r="C144" s="195">
        <v>1352</v>
      </c>
      <c r="D144" s="195">
        <v>839</v>
      </c>
      <c r="E144" s="195">
        <v>981</v>
      </c>
      <c r="F144" s="195">
        <v>833</v>
      </c>
      <c r="G144" s="195">
        <v>701</v>
      </c>
      <c r="H144" s="196">
        <f t="shared" si="20"/>
        <v>-0.15846338535414162</v>
      </c>
      <c r="I144" s="196">
        <f t="shared" si="21"/>
        <v>1.2318235733427053E-3</v>
      </c>
    </row>
    <row r="145" spans="2:9" x14ac:dyDescent="0.25">
      <c r="B145" s="194" t="s">
        <v>121</v>
      </c>
      <c r="C145" s="195">
        <v>470</v>
      </c>
      <c r="D145" s="195">
        <v>414</v>
      </c>
      <c r="E145" s="195">
        <v>717</v>
      </c>
      <c r="F145" s="195">
        <v>382</v>
      </c>
      <c r="G145" s="195">
        <v>524</v>
      </c>
      <c r="H145" s="196">
        <f t="shared" si="20"/>
        <v>0.37172774869109948</v>
      </c>
      <c r="I145" s="196">
        <f t="shared" si="21"/>
        <v>9.2079251416772828E-4</v>
      </c>
    </row>
    <row r="146" spans="2:9" x14ac:dyDescent="0.25">
      <c r="B146" s="194" t="s">
        <v>130</v>
      </c>
      <c r="C146" s="195">
        <v>287</v>
      </c>
      <c r="D146" s="195">
        <v>90</v>
      </c>
      <c r="E146" s="195">
        <v>79</v>
      </c>
      <c r="F146" s="195">
        <v>182</v>
      </c>
      <c r="G146" s="195">
        <v>153</v>
      </c>
      <c r="H146" s="196">
        <f t="shared" si="20"/>
        <v>-0.15934065934065933</v>
      </c>
      <c r="I146" s="196">
        <f t="shared" si="21"/>
        <v>2.6885735623599703E-4</v>
      </c>
    </row>
    <row r="147" spans="2:9" x14ac:dyDescent="0.25">
      <c r="B147" s="194" t="s">
        <v>133</v>
      </c>
      <c r="C147" s="195">
        <v>142</v>
      </c>
      <c r="D147" s="195">
        <v>151</v>
      </c>
      <c r="E147" s="195">
        <v>132</v>
      </c>
      <c r="F147" s="195">
        <v>235</v>
      </c>
      <c r="G147" s="195">
        <v>228</v>
      </c>
      <c r="H147" s="196">
        <f t="shared" si="20"/>
        <v>-2.9787234042553234E-2</v>
      </c>
      <c r="I147" s="196">
        <f t="shared" si="21"/>
        <v>4.006501779203093E-4</v>
      </c>
    </row>
    <row r="148" spans="2:9" x14ac:dyDescent="0.25">
      <c r="B148" s="199" t="s">
        <v>147</v>
      </c>
      <c r="C148" s="200">
        <f>C140-SUM(C141:C147)</f>
        <v>5774</v>
      </c>
      <c r="D148" s="200">
        <f>D140-SUM(D141:D147)</f>
        <v>6159</v>
      </c>
      <c r="E148" s="200">
        <f>E140-SUM(E141:E147)</f>
        <v>6672</v>
      </c>
      <c r="F148" s="200">
        <f>F140-SUM(F141:F147)</f>
        <v>7582</v>
      </c>
      <c r="G148" s="200">
        <f>G140-SUM(G141:G147)</f>
        <v>7169</v>
      </c>
      <c r="H148" s="201">
        <f t="shared" si="20"/>
        <v>-5.4471115800580283E-2</v>
      </c>
      <c r="I148" s="201">
        <f t="shared" si="21"/>
        <v>1.2597636515397794E-2</v>
      </c>
    </row>
    <row r="149" spans="2:9" x14ac:dyDescent="0.25">
      <c r="B149" s="186" t="s">
        <v>55</v>
      </c>
      <c r="C149" s="207"/>
      <c r="D149" s="207"/>
      <c r="E149" s="207"/>
      <c r="F149" s="207"/>
      <c r="G149" s="207"/>
      <c r="H149" s="208"/>
      <c r="I149" s="208"/>
    </row>
    <row r="150" spans="2:9" x14ac:dyDescent="0.25">
      <c r="B150" s="187" t="s">
        <v>70</v>
      </c>
      <c r="C150" s="209">
        <v>10365</v>
      </c>
      <c r="D150" s="209">
        <v>10623</v>
      </c>
      <c r="E150" s="209">
        <v>12600</v>
      </c>
      <c r="F150" s="209">
        <v>12749</v>
      </c>
      <c r="G150" s="209">
        <v>12860</v>
      </c>
      <c r="H150" s="210">
        <f t="shared" ref="H150:H162" si="22">IFERROR(G150/F150-1,"-")</f>
        <v>8.7065652208015987E-3</v>
      </c>
      <c r="I150" s="210">
        <f t="shared" ref="I150:I162" si="23">G150/G$10</f>
        <v>2.2598075824803408E-2</v>
      </c>
    </row>
    <row r="151" spans="2:9" x14ac:dyDescent="0.25">
      <c r="B151" s="190" t="s">
        <v>99</v>
      </c>
      <c r="C151" s="191">
        <v>5143</v>
      </c>
      <c r="D151" s="191">
        <v>5827</v>
      </c>
      <c r="E151" s="191">
        <v>5679</v>
      </c>
      <c r="F151" s="191">
        <v>5445</v>
      </c>
      <c r="G151" s="191">
        <v>5403</v>
      </c>
      <c r="H151" s="192">
        <f t="shared" si="22"/>
        <v>-7.7134986225895208E-3</v>
      </c>
      <c r="I151" s="192">
        <f t="shared" si="23"/>
        <v>9.4943548741378558E-3</v>
      </c>
    </row>
    <row r="152" spans="2:9" x14ac:dyDescent="0.25">
      <c r="B152" s="194" t="s">
        <v>105</v>
      </c>
      <c r="C152" s="195">
        <v>4210</v>
      </c>
      <c r="D152" s="195">
        <v>4368</v>
      </c>
      <c r="E152" s="195">
        <v>4747</v>
      </c>
      <c r="F152" s="195">
        <v>3717</v>
      </c>
      <c r="G152" s="195">
        <v>3868</v>
      </c>
      <c r="H152" s="196">
        <f t="shared" si="22"/>
        <v>4.0624159268227045E-2</v>
      </c>
      <c r="I152" s="196">
        <f t="shared" si="23"/>
        <v>6.7969951236655978E-3</v>
      </c>
    </row>
    <row r="153" spans="2:9" x14ac:dyDescent="0.25">
      <c r="B153" s="194" t="s">
        <v>102</v>
      </c>
      <c r="C153" s="195">
        <v>933</v>
      </c>
      <c r="D153" s="195">
        <v>1459</v>
      </c>
      <c r="E153" s="195">
        <v>932</v>
      </c>
      <c r="F153" s="195">
        <v>1728</v>
      </c>
      <c r="G153" s="195">
        <v>1535</v>
      </c>
      <c r="H153" s="196">
        <f t="shared" si="22"/>
        <v>-0.11168981481481477</v>
      </c>
      <c r="I153" s="196">
        <f t="shared" si="23"/>
        <v>2.6973597504722576E-3</v>
      </c>
    </row>
    <row r="154" spans="2:9" x14ac:dyDescent="0.25">
      <c r="B154" s="190" t="s">
        <v>109</v>
      </c>
      <c r="C154" s="191">
        <v>5222</v>
      </c>
      <c r="D154" s="191">
        <v>4796</v>
      </c>
      <c r="E154" s="191">
        <v>6921</v>
      </c>
      <c r="F154" s="191">
        <v>7304</v>
      </c>
      <c r="G154" s="191">
        <v>7457</v>
      </c>
      <c r="H154" s="192">
        <f t="shared" si="22"/>
        <v>2.0947426067907893E-2</v>
      </c>
      <c r="I154" s="192">
        <f t="shared" si="23"/>
        <v>1.3103720950665554E-2</v>
      </c>
    </row>
    <row r="155" spans="2:9" x14ac:dyDescent="0.25">
      <c r="B155" s="194" t="s">
        <v>112</v>
      </c>
      <c r="C155" s="195">
        <v>1034</v>
      </c>
      <c r="D155" s="195">
        <v>1552</v>
      </c>
      <c r="E155" s="195">
        <v>1782</v>
      </c>
      <c r="F155" s="195">
        <v>1766</v>
      </c>
      <c r="G155" s="195">
        <v>1506</v>
      </c>
      <c r="H155" s="196">
        <f t="shared" si="22"/>
        <v>-0.14722536806342013</v>
      </c>
      <c r="I155" s="196">
        <f t="shared" si="23"/>
        <v>2.6463998594209903E-3</v>
      </c>
    </row>
    <row r="156" spans="2:9" x14ac:dyDescent="0.25">
      <c r="B156" s="194" t="s">
        <v>115</v>
      </c>
      <c r="C156" s="195">
        <v>1793</v>
      </c>
      <c r="D156" s="195">
        <v>1134</v>
      </c>
      <c r="E156" s="195">
        <v>1490</v>
      </c>
      <c r="F156" s="195">
        <v>1339</v>
      </c>
      <c r="G156" s="195">
        <v>1508</v>
      </c>
      <c r="H156" s="196">
        <f t="shared" si="22"/>
        <v>0.12621359223300965</v>
      </c>
      <c r="I156" s="196">
        <f t="shared" si="23"/>
        <v>2.6499143346659054E-3</v>
      </c>
    </row>
    <row r="157" spans="2:9" x14ac:dyDescent="0.25">
      <c r="B157" s="194" t="s">
        <v>118</v>
      </c>
      <c r="C157" s="195">
        <v>746</v>
      </c>
      <c r="D157" s="195">
        <v>518</v>
      </c>
      <c r="E157" s="195">
        <v>1188</v>
      </c>
      <c r="F157" s="195">
        <v>1524</v>
      </c>
      <c r="G157" s="195">
        <v>1991</v>
      </c>
      <c r="H157" s="196">
        <f t="shared" si="22"/>
        <v>0.30643044619422577</v>
      </c>
      <c r="I157" s="196">
        <f t="shared" si="23"/>
        <v>3.4986601063128763E-3</v>
      </c>
    </row>
    <row r="158" spans="2:9" x14ac:dyDescent="0.25">
      <c r="B158" s="194" t="s">
        <v>125</v>
      </c>
      <c r="C158" s="195">
        <v>144</v>
      </c>
      <c r="D158" s="195">
        <v>194</v>
      </c>
      <c r="E158" s="195">
        <v>218</v>
      </c>
      <c r="F158" s="195">
        <v>314</v>
      </c>
      <c r="G158" s="195">
        <v>245</v>
      </c>
      <c r="H158" s="196">
        <f t="shared" si="22"/>
        <v>-0.21974522292993626</v>
      </c>
      <c r="I158" s="196">
        <f t="shared" si="23"/>
        <v>4.3052321750208675E-4</v>
      </c>
    </row>
    <row r="159" spans="2:9" x14ac:dyDescent="0.25">
      <c r="B159" s="194" t="s">
        <v>121</v>
      </c>
      <c r="C159" s="195">
        <v>202</v>
      </c>
      <c r="D159" s="195">
        <v>309</v>
      </c>
      <c r="E159" s="195">
        <v>383</v>
      </c>
      <c r="F159" s="195">
        <v>329</v>
      </c>
      <c r="G159" s="195">
        <v>279</v>
      </c>
      <c r="H159" s="196">
        <f t="shared" si="22"/>
        <v>-0.15197568389057747</v>
      </c>
      <c r="I159" s="196">
        <f t="shared" si="23"/>
        <v>4.9026929666564159E-4</v>
      </c>
    </row>
    <row r="160" spans="2:9" x14ac:dyDescent="0.25">
      <c r="B160" s="194" t="s">
        <v>130</v>
      </c>
      <c r="C160" s="195">
        <v>80</v>
      </c>
      <c r="D160" s="195">
        <v>32</v>
      </c>
      <c r="E160" s="195">
        <v>23</v>
      </c>
      <c r="F160" s="195">
        <v>16</v>
      </c>
      <c r="G160" s="195">
        <v>28</v>
      </c>
      <c r="H160" s="196">
        <f t="shared" si="22"/>
        <v>0.75</v>
      </c>
      <c r="I160" s="196">
        <f t="shared" si="23"/>
        <v>4.9202653428809908E-5</v>
      </c>
    </row>
    <row r="161" spans="2:9" x14ac:dyDescent="0.25">
      <c r="B161" s="194" t="s">
        <v>133</v>
      </c>
      <c r="C161" s="195">
        <v>59</v>
      </c>
      <c r="D161" s="195">
        <v>53</v>
      </c>
      <c r="E161" s="195">
        <v>71</v>
      </c>
      <c r="F161" s="195">
        <v>52</v>
      </c>
      <c r="G161" s="195">
        <v>44</v>
      </c>
      <c r="H161" s="196">
        <f t="shared" si="22"/>
        <v>-0.15384615384615385</v>
      </c>
      <c r="I161" s="196">
        <f t="shared" si="23"/>
        <v>7.7318455388129855E-5</v>
      </c>
    </row>
    <row r="162" spans="2:9" x14ac:dyDescent="0.25">
      <c r="B162" s="199" t="s">
        <v>147</v>
      </c>
      <c r="C162" s="200">
        <f>C154-SUM(C155:C161)</f>
        <v>1164</v>
      </c>
      <c r="D162" s="200">
        <f>D154-SUM(D155:D161)</f>
        <v>1004</v>
      </c>
      <c r="E162" s="200">
        <f>E154-SUM(E155:E161)</f>
        <v>1766</v>
      </c>
      <c r="F162" s="200">
        <f>F154-SUM(F155:F161)</f>
        <v>1964</v>
      </c>
      <c r="G162" s="200">
        <f>G154-SUM(G155:G161)</f>
        <v>1856</v>
      </c>
      <c r="H162" s="201">
        <f t="shared" si="22"/>
        <v>-5.4989816700610983E-2</v>
      </c>
      <c r="I162" s="201">
        <f t="shared" si="23"/>
        <v>3.2614330272811142E-3</v>
      </c>
    </row>
    <row r="163" spans="2:9" x14ac:dyDescent="0.25">
      <c r="C163" s="103"/>
      <c r="D163" s="103"/>
      <c r="E163" s="103"/>
      <c r="F163" s="103"/>
      <c r="G163" s="103"/>
      <c r="H163" s="103"/>
    </row>
    <row r="164" spans="2:9" x14ac:dyDescent="0.25">
      <c r="B164" s="131" t="s">
        <v>57</v>
      </c>
      <c r="C164" s="131"/>
      <c r="D164" s="131"/>
      <c r="E164" s="131"/>
      <c r="F164" s="131"/>
      <c r="G164" s="131"/>
      <c r="H164" s="131"/>
      <c r="I164" s="131"/>
    </row>
  </sheetData>
  <mergeCells count="3">
    <mergeCell ref="B5:I5"/>
    <mergeCell ref="K5:R5"/>
    <mergeCell ref="C7:I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74FD5-42F6-4635-836C-A9BD7B847853}">
  <sheetPr>
    <tabColor rgb="FFFFC000"/>
    <pageSetUpPr fitToPage="1"/>
  </sheetPr>
  <dimension ref="A1:X163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3" customWidth="1"/>
    <col min="10" max="10" width="10.5703125" customWidth="1"/>
    <col min="11" max="11" width="11.5703125" customWidth="1"/>
    <col min="12" max="12" width="10.5703125" customWidth="1"/>
    <col min="14" max="14" width="11.42578125" customWidth="1"/>
    <col min="15" max="24" width="11.42578125" hidden="1" customWidth="1"/>
  </cols>
  <sheetData>
    <row r="1" spans="1:24" ht="42.75" customHeight="1" x14ac:dyDescent="0.25"/>
    <row r="4" spans="1:24" ht="42" customHeight="1" thickBot="1" x14ac:dyDescent="0.3">
      <c r="B4" s="12" t="str">
        <f>CONCATENATE("Viajeros alojados en los establecimientos alojativos de Tenerife según lugar de residencia y municipio de alojamiento (hotel + apartamento)")</f>
        <v>Viajeros alojados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  <c r="L4" s="12"/>
      <c r="O4" s="12" t="s">
        <v>273</v>
      </c>
      <c r="P4" s="12"/>
      <c r="Q4" s="12"/>
      <c r="R4" s="12"/>
      <c r="S4" s="12"/>
      <c r="T4" s="12"/>
      <c r="U4" s="12"/>
      <c r="V4" s="12"/>
      <c r="W4" s="12"/>
      <c r="X4" s="12"/>
    </row>
    <row r="5" spans="1:24" ht="6" customHeight="1" x14ac:dyDescent="0.25"/>
    <row r="6" spans="1:24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L6" s="204"/>
    </row>
    <row r="7" spans="1:24" s="177" customFormat="1" ht="72" customHeight="1" x14ac:dyDescent="0.25">
      <c r="B7" s="178"/>
      <c r="C7" s="205" t="s">
        <v>274</v>
      </c>
      <c r="D7" s="205" t="s">
        <v>265</v>
      </c>
      <c r="E7" s="205" t="s">
        <v>266</v>
      </c>
      <c r="F7" s="205" t="s">
        <v>267</v>
      </c>
      <c r="G7" s="205" t="s">
        <v>268</v>
      </c>
      <c r="H7" s="205" t="s">
        <v>269</v>
      </c>
      <c r="I7" s="205" t="s">
        <v>270</v>
      </c>
      <c r="J7" s="206" t="str">
        <f>CONCATENATE("var. ",RIGHT(I7,2),"/",RIGHT(H7,2))</f>
        <v>var. 25/24</v>
      </c>
      <c r="K7" s="205" t="str">
        <f>CONCATENATE("dif. ",RIGHT(I7,2),"/",RIGHT(H7,2))</f>
        <v>dif. 25/24</v>
      </c>
      <c r="L7" s="206" t="str">
        <f>CONCATENATE("Cuota s/ total lugares de residencia ",RIGHT(I7,4))</f>
        <v>Cuota s/ total lugares de residencia 2025</v>
      </c>
      <c r="O7" s="178"/>
      <c r="P7" s="205" t="s">
        <v>265</v>
      </c>
      <c r="Q7" s="205" t="s">
        <v>266</v>
      </c>
      <c r="R7" s="205" t="s">
        <v>267</v>
      </c>
      <c r="S7" s="205" t="s">
        <v>268</v>
      </c>
      <c r="T7" s="205" t="s">
        <v>269</v>
      </c>
      <c r="U7" s="205" t="s">
        <v>270</v>
      </c>
      <c r="V7" s="206" t="str">
        <f>CONCATENATE("var. ",RIGHT(U7,2),"/",RIGHT(T7,2))</f>
        <v>var. 25/24</v>
      </c>
      <c r="W7" s="205" t="str">
        <f>CONCATENATE("dif. ",RIGHT(U7,2),"/",RIGHT(T7,2))</f>
        <v>dif. 25/24</v>
      </c>
      <c r="X7" s="206" t="str">
        <f>CONCATENATE("Cuota s/ total lugares de residencia ",RIGHT(U7,4))</f>
        <v>Cuota s/ total lugares de residencia 2025</v>
      </c>
    </row>
    <row r="8" spans="1:24" x14ac:dyDescent="0.25">
      <c r="A8" s="1"/>
      <c r="B8" s="183" t="s">
        <v>45</v>
      </c>
      <c r="C8" s="184"/>
      <c r="D8" s="184"/>
      <c r="E8" s="184"/>
      <c r="F8" s="184"/>
      <c r="G8" s="184"/>
      <c r="H8" s="184"/>
      <c r="I8" s="185"/>
      <c r="J8" s="185"/>
      <c r="K8" s="185"/>
      <c r="L8" s="184"/>
      <c r="O8" s="186" t="s">
        <v>51</v>
      </c>
      <c r="P8" s="184"/>
      <c r="Q8" s="184"/>
      <c r="R8" s="184"/>
      <c r="S8" s="184"/>
      <c r="T8" s="184"/>
      <c r="U8" s="185"/>
      <c r="V8" s="185"/>
      <c r="W8" s="185"/>
      <c r="X8" s="184"/>
    </row>
    <row r="9" spans="1:24" x14ac:dyDescent="0.25">
      <c r="A9" s="1"/>
      <c r="B9" s="187" t="s">
        <v>70</v>
      </c>
      <c r="C9" s="209">
        <v>4818735</v>
      </c>
      <c r="D9" s="209">
        <v>1697973</v>
      </c>
      <c r="E9" s="209">
        <v>1889322</v>
      </c>
      <c r="F9" s="209">
        <v>4616324</v>
      </c>
      <c r="G9" s="209">
        <v>5103072</v>
      </c>
      <c r="H9" s="209">
        <v>5417451</v>
      </c>
      <c r="I9" s="209">
        <v>5353030</v>
      </c>
      <c r="J9" s="210">
        <f>IFERROR(I9/H9-1,"-")</f>
        <v>-1.1891385819640998E-2</v>
      </c>
      <c r="K9" s="209">
        <f t="shared" ref="K9:K21" si="0">I9-H9</f>
        <v>-64421</v>
      </c>
      <c r="L9" s="210">
        <f t="shared" ref="L9:L21" si="1">I9/I$9</f>
        <v>1</v>
      </c>
      <c r="O9" s="187" t="s">
        <v>70</v>
      </c>
      <c r="P9" s="209">
        <v>20050</v>
      </c>
      <c r="Q9" s="209">
        <v>25369</v>
      </c>
      <c r="R9" s="209">
        <v>43371</v>
      </c>
      <c r="S9" s="209">
        <v>50896</v>
      </c>
      <c r="T9" s="209">
        <v>49021</v>
      </c>
      <c r="U9" s="209">
        <v>48804</v>
      </c>
      <c r="V9" s="210">
        <f>IFERROR(U9/T9-1,"-")</f>
        <v>-4.4266742824503602E-3</v>
      </c>
      <c r="W9" s="209">
        <f>U9-T9</f>
        <v>-217</v>
      </c>
      <c r="X9" s="210">
        <f t="shared" ref="X9:X21" si="2">U9/U$9</f>
        <v>1</v>
      </c>
    </row>
    <row r="10" spans="1:24" x14ac:dyDescent="0.25">
      <c r="A10" s="1" t="s">
        <v>98</v>
      </c>
      <c r="B10" s="190" t="s">
        <v>99</v>
      </c>
      <c r="C10" s="191">
        <v>1002718</v>
      </c>
      <c r="D10" s="191">
        <v>445131</v>
      </c>
      <c r="E10" s="191">
        <v>734994</v>
      </c>
      <c r="F10" s="191">
        <v>962381</v>
      </c>
      <c r="G10" s="191">
        <v>1002645</v>
      </c>
      <c r="H10" s="191">
        <v>1005384</v>
      </c>
      <c r="I10" s="191">
        <v>1015916</v>
      </c>
      <c r="J10" s="211">
        <f>IFERROR(I10/H10-1,"-")</f>
        <v>1.047559937297593E-2</v>
      </c>
      <c r="K10" s="190">
        <f t="shared" si="0"/>
        <v>10532</v>
      </c>
      <c r="L10" s="192">
        <f t="shared" si="1"/>
        <v>0.18978335634210905</v>
      </c>
      <c r="O10" s="190" t="s">
        <v>99</v>
      </c>
      <c r="P10" s="191">
        <v>12772</v>
      </c>
      <c r="Q10" s="191">
        <v>16368</v>
      </c>
      <c r="R10" s="191">
        <v>27906</v>
      </c>
      <c r="S10" s="191">
        <v>33566</v>
      </c>
      <c r="T10" s="191">
        <v>30089</v>
      </c>
      <c r="U10" s="191">
        <v>30439</v>
      </c>
      <c r="V10" s="211">
        <f>IFERROR(U10/T10-1,"-")</f>
        <v>1.1632157931469989E-2</v>
      </c>
      <c r="W10" s="190">
        <f t="shared" ref="W10:W20" si="3">U10-T10</f>
        <v>350</v>
      </c>
      <c r="X10" s="192">
        <f t="shared" si="2"/>
        <v>0.62369887714121797</v>
      </c>
    </row>
    <row r="11" spans="1:24" x14ac:dyDescent="0.25">
      <c r="A11" s="193" t="s">
        <v>105</v>
      </c>
      <c r="B11" s="194" t="s">
        <v>105</v>
      </c>
      <c r="C11" s="195">
        <v>386522</v>
      </c>
      <c r="D11" s="195">
        <v>189999</v>
      </c>
      <c r="E11" s="195">
        <v>383697</v>
      </c>
      <c r="F11" s="195">
        <v>392981</v>
      </c>
      <c r="G11" s="195">
        <v>405259</v>
      </c>
      <c r="H11" s="195">
        <v>395283</v>
      </c>
      <c r="I11" s="195">
        <v>390370</v>
      </c>
      <c r="J11" s="212">
        <f>IFERROR(I11/H11-1,"-")</f>
        <v>-1.2429069805683479E-2</v>
      </c>
      <c r="K11" s="194">
        <f t="shared" si="0"/>
        <v>-4913</v>
      </c>
      <c r="L11" s="196">
        <f t="shared" si="1"/>
        <v>7.2925053661197489E-2</v>
      </c>
      <c r="O11" s="194" t="s">
        <v>105</v>
      </c>
      <c r="P11" s="195">
        <v>6657</v>
      </c>
      <c r="Q11" s="195">
        <v>8277</v>
      </c>
      <c r="R11" s="195">
        <v>12883</v>
      </c>
      <c r="S11" s="195">
        <v>10385</v>
      </c>
      <c r="T11" s="195">
        <v>9276</v>
      </c>
      <c r="U11" s="195">
        <v>11235</v>
      </c>
      <c r="V11" s="212">
        <f>IFERROR(U11/T11-1,"-")</f>
        <v>0.21119016817593783</v>
      </c>
      <c r="W11" s="194">
        <f t="shared" si="3"/>
        <v>1959</v>
      </c>
      <c r="X11" s="196">
        <f t="shared" si="2"/>
        <v>0.2302065404475043</v>
      </c>
    </row>
    <row r="12" spans="1:24" x14ac:dyDescent="0.25">
      <c r="A12" s="193" t="s">
        <v>102</v>
      </c>
      <c r="B12" s="194" t="s">
        <v>102</v>
      </c>
      <c r="C12" s="195">
        <v>616196</v>
      </c>
      <c r="D12" s="195">
        <v>255132</v>
      </c>
      <c r="E12" s="195">
        <v>351297</v>
      </c>
      <c r="F12" s="195">
        <v>569400</v>
      </c>
      <c r="G12" s="195">
        <v>597386</v>
      </c>
      <c r="H12" s="195">
        <v>610101</v>
      </c>
      <c r="I12" s="195">
        <v>625546</v>
      </c>
      <c r="J12" s="212">
        <f>IFERROR(I12/H12-1,"-")</f>
        <v>2.5315480551580727E-2</v>
      </c>
      <c r="K12" s="194">
        <f t="shared" si="0"/>
        <v>15445</v>
      </c>
      <c r="L12" s="196">
        <f t="shared" si="1"/>
        <v>0.11685830268091156</v>
      </c>
      <c r="O12" s="194" t="s">
        <v>102</v>
      </c>
      <c r="P12" s="195">
        <v>6115</v>
      </c>
      <c r="Q12" s="195">
        <v>8091</v>
      </c>
      <c r="R12" s="195">
        <v>15023</v>
      </c>
      <c r="S12" s="195">
        <v>23181</v>
      </c>
      <c r="T12" s="195">
        <v>20813</v>
      </c>
      <c r="U12" s="195">
        <v>19204</v>
      </c>
      <c r="V12" s="212">
        <f>IFERROR(U12/T12-1,"-")</f>
        <v>-7.7307452073223426E-2</v>
      </c>
      <c r="W12" s="194">
        <f t="shared" si="3"/>
        <v>-1609</v>
      </c>
      <c r="X12" s="196">
        <f t="shared" si="2"/>
        <v>0.39349233669371364</v>
      </c>
    </row>
    <row r="13" spans="1:24" x14ac:dyDescent="0.25">
      <c r="A13" s="1"/>
      <c r="B13" s="190" t="s">
        <v>109</v>
      </c>
      <c r="C13" s="191">
        <v>3816017</v>
      </c>
      <c r="D13" s="191">
        <v>1252842</v>
      </c>
      <c r="E13" s="191">
        <v>1154328</v>
      </c>
      <c r="F13" s="191">
        <v>3653943</v>
      </c>
      <c r="G13" s="191">
        <v>4100427</v>
      </c>
      <c r="H13" s="191">
        <v>4412067</v>
      </c>
      <c r="I13" s="191">
        <v>4337114</v>
      </c>
      <c r="J13" s="211">
        <f>IFERROR(I13/H13-1,"-")</f>
        <v>-1.6988182636392457E-2</v>
      </c>
      <c r="K13" s="190">
        <f t="shared" si="0"/>
        <v>-74953</v>
      </c>
      <c r="L13" s="192">
        <f t="shared" si="1"/>
        <v>0.81021664365789092</v>
      </c>
      <c r="O13" s="190" t="s">
        <v>109</v>
      </c>
      <c r="P13" s="191">
        <v>7278</v>
      </c>
      <c r="Q13" s="191">
        <v>9001</v>
      </c>
      <c r="R13" s="191">
        <v>15465</v>
      </c>
      <c r="S13" s="191">
        <v>17330</v>
      </c>
      <c r="T13" s="191">
        <v>18932</v>
      </c>
      <c r="U13" s="191">
        <v>18365</v>
      </c>
      <c r="V13" s="211">
        <f>IFERROR(U13/T13-1,"-")</f>
        <v>-2.994929220367637E-2</v>
      </c>
      <c r="W13" s="190">
        <f t="shared" si="3"/>
        <v>-567</v>
      </c>
      <c r="X13" s="192">
        <f t="shared" si="2"/>
        <v>0.37630112285878209</v>
      </c>
    </row>
    <row r="14" spans="1:24" s="74" customFormat="1" x14ac:dyDescent="0.25">
      <c r="B14" s="194" t="s">
        <v>112</v>
      </c>
      <c r="C14" s="195">
        <v>1770999</v>
      </c>
      <c r="D14" s="195">
        <v>488986</v>
      </c>
      <c r="E14" s="195">
        <v>302459</v>
      </c>
      <c r="F14" s="195">
        <v>1722651</v>
      </c>
      <c r="G14" s="195">
        <v>1952814</v>
      </c>
      <c r="H14" s="195">
        <v>2103110</v>
      </c>
      <c r="I14" s="195">
        <v>2089250</v>
      </c>
      <c r="J14" s="212">
        <f t="shared" ref="J14:J21" si="4">IFERROR(I14/H14-1,"-")</f>
        <v>-6.5902401681319223E-3</v>
      </c>
      <c r="K14" s="194">
        <f t="shared" si="0"/>
        <v>-13860</v>
      </c>
      <c r="L14" s="196">
        <f t="shared" si="1"/>
        <v>0.3902929742594381</v>
      </c>
      <c r="O14" s="194" t="s">
        <v>112</v>
      </c>
      <c r="P14" s="195">
        <v>1197</v>
      </c>
      <c r="Q14" s="195">
        <v>545</v>
      </c>
      <c r="R14" s="195">
        <v>2042</v>
      </c>
      <c r="S14" s="195">
        <v>2458</v>
      </c>
      <c r="T14" s="195">
        <v>2680</v>
      </c>
      <c r="U14" s="195">
        <v>2221</v>
      </c>
      <c r="V14" s="212">
        <f t="shared" ref="V14:V21" si="5">IFERROR(U14/T14-1,"-")</f>
        <v>-0.17126865671641789</v>
      </c>
      <c r="W14" s="194">
        <f t="shared" si="3"/>
        <v>-459</v>
      </c>
      <c r="X14" s="196">
        <f t="shared" si="2"/>
        <v>4.5508564871731827E-2</v>
      </c>
    </row>
    <row r="15" spans="1:24" s="74" customFormat="1" x14ac:dyDescent="0.25">
      <c r="B15" s="194" t="s">
        <v>115</v>
      </c>
      <c r="C15" s="195">
        <v>508092</v>
      </c>
      <c r="D15" s="195">
        <v>161656</v>
      </c>
      <c r="E15" s="195">
        <v>172055</v>
      </c>
      <c r="F15" s="195">
        <v>369343</v>
      </c>
      <c r="G15" s="195">
        <v>420084</v>
      </c>
      <c r="H15" s="195">
        <v>441010</v>
      </c>
      <c r="I15" s="195">
        <v>428461</v>
      </c>
      <c r="J15" s="212">
        <f t="shared" si="4"/>
        <v>-2.8455137071721759E-2</v>
      </c>
      <c r="K15" s="194">
        <f t="shared" si="0"/>
        <v>-12549</v>
      </c>
      <c r="L15" s="196">
        <f t="shared" si="1"/>
        <v>8.0040836685017644E-2</v>
      </c>
      <c r="O15" s="194" t="s">
        <v>115</v>
      </c>
      <c r="P15" s="195">
        <v>1480</v>
      </c>
      <c r="Q15" s="195">
        <v>1857</v>
      </c>
      <c r="R15" s="195">
        <v>3193</v>
      </c>
      <c r="S15" s="195">
        <v>3384</v>
      </c>
      <c r="T15" s="195">
        <v>3853</v>
      </c>
      <c r="U15" s="195">
        <v>3531</v>
      </c>
      <c r="V15" s="212">
        <f t="shared" si="5"/>
        <v>-8.3571243187126942E-2</v>
      </c>
      <c r="W15" s="194">
        <f t="shared" si="3"/>
        <v>-322</v>
      </c>
      <c r="X15" s="196">
        <f t="shared" si="2"/>
        <v>7.2350626997787063E-2</v>
      </c>
    </row>
    <row r="16" spans="1:24" x14ac:dyDescent="0.25">
      <c r="A16" s="1"/>
      <c r="B16" s="194" t="s">
        <v>118</v>
      </c>
      <c r="C16" s="195">
        <v>169640</v>
      </c>
      <c r="D16" s="195">
        <v>61543</v>
      </c>
      <c r="E16" s="195">
        <v>112428</v>
      </c>
      <c r="F16" s="195">
        <v>189595</v>
      </c>
      <c r="G16" s="195">
        <v>216757</v>
      </c>
      <c r="H16" s="195">
        <v>235699</v>
      </c>
      <c r="I16" s="195">
        <v>223167</v>
      </c>
      <c r="J16" s="212">
        <f t="shared" si="4"/>
        <v>-5.3169508568131407E-2</v>
      </c>
      <c r="K16" s="194">
        <f t="shared" si="0"/>
        <v>-12532</v>
      </c>
      <c r="L16" s="196">
        <f t="shared" si="1"/>
        <v>4.1689846684961604E-2</v>
      </c>
      <c r="O16" s="194" t="s">
        <v>118</v>
      </c>
      <c r="P16" s="195">
        <v>1719</v>
      </c>
      <c r="Q16" s="195">
        <v>2981</v>
      </c>
      <c r="R16" s="195">
        <v>2901</v>
      </c>
      <c r="S16" s="195">
        <v>3219</v>
      </c>
      <c r="T16" s="195">
        <v>3187</v>
      </c>
      <c r="U16" s="195">
        <v>3147</v>
      </c>
      <c r="V16" s="212">
        <f t="shared" si="5"/>
        <v>-1.2550988390335749E-2</v>
      </c>
      <c r="W16" s="194">
        <f t="shared" si="3"/>
        <v>-40</v>
      </c>
      <c r="X16" s="196">
        <f t="shared" si="2"/>
        <v>6.4482419473813626E-2</v>
      </c>
    </row>
    <row r="17" spans="1:24" x14ac:dyDescent="0.25">
      <c r="A17" s="1"/>
      <c r="B17" s="194" t="s">
        <v>125</v>
      </c>
      <c r="C17" s="195">
        <v>146053</v>
      </c>
      <c r="D17" s="195">
        <v>44574</v>
      </c>
      <c r="E17" s="195">
        <v>73083</v>
      </c>
      <c r="F17" s="195">
        <v>179886</v>
      </c>
      <c r="G17" s="195">
        <v>173008</v>
      </c>
      <c r="H17" s="195">
        <v>180424</v>
      </c>
      <c r="I17" s="195">
        <v>167452</v>
      </c>
      <c r="J17" s="212">
        <f t="shared" si="4"/>
        <v>-7.1897308562053786E-2</v>
      </c>
      <c r="K17" s="194">
        <f t="shared" si="0"/>
        <v>-12972</v>
      </c>
      <c r="L17" s="196">
        <f t="shared" si="1"/>
        <v>3.1281722687898257E-2</v>
      </c>
      <c r="O17" s="194" t="s">
        <v>125</v>
      </c>
      <c r="P17" s="195">
        <v>301</v>
      </c>
      <c r="Q17" s="195">
        <v>227</v>
      </c>
      <c r="R17" s="195">
        <v>1054</v>
      </c>
      <c r="S17" s="195">
        <v>796</v>
      </c>
      <c r="T17" s="195">
        <v>865</v>
      </c>
      <c r="U17" s="195">
        <v>756</v>
      </c>
      <c r="V17" s="212">
        <f t="shared" si="5"/>
        <v>-0.12601156069364161</v>
      </c>
      <c r="W17" s="194">
        <f t="shared" si="3"/>
        <v>-109</v>
      </c>
      <c r="X17" s="196">
        <f t="shared" si="2"/>
        <v>1.549053356282272E-2</v>
      </c>
    </row>
    <row r="18" spans="1:24" x14ac:dyDescent="0.25">
      <c r="A18" s="1"/>
      <c r="B18" s="194" t="s">
        <v>121</v>
      </c>
      <c r="C18" s="195">
        <v>133661</v>
      </c>
      <c r="D18" s="195">
        <v>63364</v>
      </c>
      <c r="E18" s="195">
        <v>73196</v>
      </c>
      <c r="F18" s="195">
        <v>146627</v>
      </c>
      <c r="G18" s="195">
        <v>149379</v>
      </c>
      <c r="H18" s="195">
        <v>158085</v>
      </c>
      <c r="I18" s="195">
        <v>144908</v>
      </c>
      <c r="J18" s="212">
        <f t="shared" si="4"/>
        <v>-8.3353891893601539E-2</v>
      </c>
      <c r="K18" s="194">
        <f t="shared" si="0"/>
        <v>-13177</v>
      </c>
      <c r="L18" s="196">
        <f t="shared" si="1"/>
        <v>2.7070276086627574E-2</v>
      </c>
      <c r="O18" s="194" t="s">
        <v>121</v>
      </c>
      <c r="P18" s="195">
        <v>267</v>
      </c>
      <c r="Q18" s="195">
        <v>351</v>
      </c>
      <c r="R18" s="195">
        <v>600</v>
      </c>
      <c r="S18" s="195">
        <v>496</v>
      </c>
      <c r="T18" s="195">
        <v>744</v>
      </c>
      <c r="U18" s="195">
        <v>728</v>
      </c>
      <c r="V18" s="212">
        <f t="shared" si="5"/>
        <v>-2.1505376344086002E-2</v>
      </c>
      <c r="W18" s="194">
        <f t="shared" si="3"/>
        <v>-16</v>
      </c>
      <c r="X18" s="196">
        <f t="shared" si="2"/>
        <v>1.4916810097532989E-2</v>
      </c>
    </row>
    <row r="19" spans="1:24" x14ac:dyDescent="0.25">
      <c r="A19" s="1"/>
      <c r="B19" s="194" t="s">
        <v>130</v>
      </c>
      <c r="C19" s="195">
        <v>70012</v>
      </c>
      <c r="D19" s="195">
        <v>35732</v>
      </c>
      <c r="E19" s="195">
        <v>10310</v>
      </c>
      <c r="F19" s="195">
        <v>53846</v>
      </c>
      <c r="G19" s="195">
        <v>62423</v>
      </c>
      <c r="H19" s="195">
        <v>59079</v>
      </c>
      <c r="I19" s="195">
        <v>55949</v>
      </c>
      <c r="J19" s="212">
        <f t="shared" si="4"/>
        <v>-5.2979908258433572E-2</v>
      </c>
      <c r="K19" s="194">
        <f t="shared" si="0"/>
        <v>-3130</v>
      </c>
      <c r="L19" s="196">
        <f t="shared" si="1"/>
        <v>1.045183755742075E-2</v>
      </c>
      <c r="O19" s="194" t="s">
        <v>130</v>
      </c>
      <c r="P19" s="195">
        <v>127</v>
      </c>
      <c r="Q19" s="195">
        <v>51</v>
      </c>
      <c r="R19" s="195">
        <v>240</v>
      </c>
      <c r="S19" s="195">
        <v>115</v>
      </c>
      <c r="T19" s="195">
        <v>202</v>
      </c>
      <c r="U19" s="195">
        <v>165</v>
      </c>
      <c r="V19" s="212">
        <f t="shared" si="5"/>
        <v>-0.18316831683168322</v>
      </c>
      <c r="W19" s="194">
        <f t="shared" si="3"/>
        <v>-37</v>
      </c>
      <c r="X19" s="196">
        <f t="shared" si="2"/>
        <v>3.3808704204573397E-3</v>
      </c>
    </row>
    <row r="20" spans="1:24" x14ac:dyDescent="0.25">
      <c r="A20" s="193" t="s">
        <v>146</v>
      </c>
      <c r="B20" s="194" t="s">
        <v>133</v>
      </c>
      <c r="C20" s="195">
        <v>90242</v>
      </c>
      <c r="D20" s="195">
        <v>52569</v>
      </c>
      <c r="E20" s="195">
        <v>7939</v>
      </c>
      <c r="F20" s="195">
        <v>41647</v>
      </c>
      <c r="G20" s="195">
        <v>58019</v>
      </c>
      <c r="H20" s="195">
        <v>60115</v>
      </c>
      <c r="I20" s="195">
        <v>47908</v>
      </c>
      <c r="J20" s="212">
        <f t="shared" si="4"/>
        <v>-0.20306080013307826</v>
      </c>
      <c r="K20" s="194">
        <f t="shared" si="0"/>
        <v>-12207</v>
      </c>
      <c r="L20" s="196">
        <f t="shared" si="1"/>
        <v>8.9496976478741948E-3</v>
      </c>
      <c r="O20" s="194" t="s">
        <v>133</v>
      </c>
      <c r="P20" s="195">
        <v>79</v>
      </c>
      <c r="Q20" s="195">
        <v>71</v>
      </c>
      <c r="R20" s="195">
        <v>127</v>
      </c>
      <c r="S20" s="195">
        <v>219</v>
      </c>
      <c r="T20" s="195">
        <v>350</v>
      </c>
      <c r="U20" s="195">
        <v>186</v>
      </c>
      <c r="V20" s="212">
        <f t="shared" si="5"/>
        <v>-0.46857142857142853</v>
      </c>
      <c r="W20" s="194">
        <f t="shared" si="3"/>
        <v>-164</v>
      </c>
      <c r="X20" s="196">
        <f t="shared" si="2"/>
        <v>3.8111630194246375E-3</v>
      </c>
    </row>
    <row r="21" spans="1:24" x14ac:dyDescent="0.25">
      <c r="A21" s="198" t="s">
        <v>147</v>
      </c>
      <c r="B21" s="199" t="s">
        <v>147</v>
      </c>
      <c r="C21" s="200">
        <f t="shared" ref="C21" si="6">C13-SUM(C14:C20)</f>
        <v>927318</v>
      </c>
      <c r="D21" s="200">
        <f t="shared" ref="D21:I21" si="7">D13-SUM(D14:D20)</f>
        <v>344418</v>
      </c>
      <c r="E21" s="200">
        <f t="shared" si="7"/>
        <v>402858</v>
      </c>
      <c r="F21" s="200">
        <f t="shared" si="7"/>
        <v>950348</v>
      </c>
      <c r="G21" s="200">
        <f t="shared" si="7"/>
        <v>1067943</v>
      </c>
      <c r="H21" s="200">
        <f t="shared" si="7"/>
        <v>1174545</v>
      </c>
      <c r="I21" s="200">
        <f t="shared" si="7"/>
        <v>1180019</v>
      </c>
      <c r="J21" s="213">
        <f t="shared" si="4"/>
        <v>4.6605281193994319E-3</v>
      </c>
      <c r="K21" s="199">
        <f t="shared" si="0"/>
        <v>5474</v>
      </c>
      <c r="L21" s="201">
        <f t="shared" si="1"/>
        <v>0.22043945204865281</v>
      </c>
      <c r="O21" s="199" t="s">
        <v>147</v>
      </c>
      <c r="P21" s="200">
        <f t="shared" ref="P21:U21" si="8">P13-SUM(P14:P20)</f>
        <v>2108</v>
      </c>
      <c r="Q21" s="200">
        <f t="shared" si="8"/>
        <v>2918</v>
      </c>
      <c r="R21" s="200">
        <f t="shared" si="8"/>
        <v>5308</v>
      </c>
      <c r="S21" s="200">
        <f t="shared" si="8"/>
        <v>6643</v>
      </c>
      <c r="T21" s="200">
        <f t="shared" si="8"/>
        <v>7051</v>
      </c>
      <c r="U21" s="200">
        <f t="shared" si="8"/>
        <v>7631</v>
      </c>
      <c r="V21" s="213">
        <f t="shared" si="5"/>
        <v>8.2257835767976184E-2</v>
      </c>
      <c r="W21" s="199">
        <f>U21-T21</f>
        <v>580</v>
      </c>
      <c r="X21" s="201">
        <f t="shared" si="2"/>
        <v>0.15636013441521188</v>
      </c>
    </row>
    <row r="22" spans="1:24" x14ac:dyDescent="0.25">
      <c r="A22" s="1"/>
      <c r="B22" s="186" t="s">
        <v>46</v>
      </c>
      <c r="C22" s="184"/>
      <c r="D22" s="184"/>
      <c r="E22" s="184"/>
      <c r="F22" s="184"/>
      <c r="G22" s="184"/>
      <c r="H22" s="184"/>
      <c r="I22" s="184"/>
      <c r="J22" s="185"/>
      <c r="K22" s="185"/>
      <c r="L22" s="184"/>
    </row>
    <row r="23" spans="1:24" x14ac:dyDescent="0.25">
      <c r="A23" s="1"/>
      <c r="B23" s="187" t="s">
        <v>70</v>
      </c>
      <c r="C23" s="209">
        <v>1790925</v>
      </c>
      <c r="D23" s="209">
        <v>574736</v>
      </c>
      <c r="E23" s="209">
        <v>737549</v>
      </c>
      <c r="F23" s="209">
        <v>1744787</v>
      </c>
      <c r="G23" s="209">
        <v>1889434</v>
      </c>
      <c r="H23" s="209">
        <v>1951443</v>
      </c>
      <c r="I23" s="209">
        <v>1852490</v>
      </c>
      <c r="J23" s="210">
        <f>IFERROR(I23/H23-1,"-")</f>
        <v>-5.0707604577740706E-2</v>
      </c>
      <c r="K23" s="209">
        <f>I23-H23</f>
        <v>-98953</v>
      </c>
      <c r="L23" s="210">
        <f t="shared" ref="L23:L35" si="9">I23/I$9</f>
        <v>0.34606381806192005</v>
      </c>
    </row>
    <row r="24" spans="1:24" x14ac:dyDescent="0.25">
      <c r="A24" s="1" t="s">
        <v>98</v>
      </c>
      <c r="B24" s="190" t="s">
        <v>99</v>
      </c>
      <c r="C24" s="191">
        <v>221949</v>
      </c>
      <c r="D24" s="191">
        <v>99356</v>
      </c>
      <c r="E24" s="191">
        <v>243708</v>
      </c>
      <c r="F24" s="191">
        <v>203094</v>
      </c>
      <c r="G24" s="191">
        <v>179444</v>
      </c>
      <c r="H24" s="191">
        <v>160491</v>
      </c>
      <c r="I24" s="191">
        <v>144571</v>
      </c>
      <c r="J24" s="211">
        <f>IFERROR(I24/H24-1,"-")</f>
        <v>-9.9195593522378167E-2</v>
      </c>
      <c r="K24" s="190">
        <f t="shared" ref="K24:K34" si="10">I24-H24</f>
        <v>-15920</v>
      </c>
      <c r="L24" s="192">
        <f t="shared" si="9"/>
        <v>2.7007321087309431E-2</v>
      </c>
    </row>
    <row r="25" spans="1:24" x14ac:dyDescent="0.25">
      <c r="A25" s="193" t="s">
        <v>105</v>
      </c>
      <c r="B25" s="194" t="s">
        <v>105</v>
      </c>
      <c r="C25" s="195">
        <v>111266</v>
      </c>
      <c r="D25" s="195">
        <v>55545</v>
      </c>
      <c r="E25" s="195">
        <v>124575</v>
      </c>
      <c r="F25" s="195">
        <v>83132</v>
      </c>
      <c r="G25" s="195">
        <v>73587</v>
      </c>
      <c r="H25" s="195">
        <v>59707</v>
      </c>
      <c r="I25" s="195">
        <v>64841</v>
      </c>
      <c r="J25" s="212">
        <f>IFERROR(I25/H25-1,"-")</f>
        <v>8.5986567739126052E-2</v>
      </c>
      <c r="K25" s="194">
        <f t="shared" si="10"/>
        <v>5134</v>
      </c>
      <c r="L25" s="196">
        <f t="shared" si="9"/>
        <v>1.2112952851002144E-2</v>
      </c>
    </row>
    <row r="26" spans="1:24" x14ac:dyDescent="0.25">
      <c r="A26" s="193" t="s">
        <v>102</v>
      </c>
      <c r="B26" s="194" t="s">
        <v>102</v>
      </c>
      <c r="C26" s="195">
        <v>110683</v>
      </c>
      <c r="D26" s="195">
        <v>43811</v>
      </c>
      <c r="E26" s="195">
        <v>119133</v>
      </c>
      <c r="F26" s="195">
        <v>119962</v>
      </c>
      <c r="G26" s="195">
        <v>105857</v>
      </c>
      <c r="H26" s="195">
        <v>100784</v>
      </c>
      <c r="I26" s="195">
        <v>79730</v>
      </c>
      <c r="J26" s="212">
        <f>IFERROR(I26/H26-1,"-")</f>
        <v>-0.20890220669947612</v>
      </c>
      <c r="K26" s="194">
        <f t="shared" si="10"/>
        <v>-21054</v>
      </c>
      <c r="L26" s="196">
        <f t="shared" si="9"/>
        <v>1.4894368236307288E-2</v>
      </c>
    </row>
    <row r="27" spans="1:24" x14ac:dyDescent="0.25">
      <c r="A27" s="1"/>
      <c r="B27" s="190" t="s">
        <v>109</v>
      </c>
      <c r="C27" s="191">
        <v>1568976</v>
      </c>
      <c r="D27" s="191">
        <v>475380</v>
      </c>
      <c r="E27" s="191">
        <v>493841</v>
      </c>
      <c r="F27" s="191">
        <v>1541693</v>
      </c>
      <c r="G27" s="191">
        <v>1709990</v>
      </c>
      <c r="H27" s="191">
        <v>1790952</v>
      </c>
      <c r="I27" s="191">
        <v>1707919</v>
      </c>
      <c r="J27" s="211">
        <f>IFERROR(I27/H27-1,"-")</f>
        <v>-4.6362493243816694E-2</v>
      </c>
      <c r="K27" s="190">
        <f t="shared" si="10"/>
        <v>-83033</v>
      </c>
      <c r="L27" s="192">
        <f t="shared" si="9"/>
        <v>0.31905649697461064</v>
      </c>
    </row>
    <row r="28" spans="1:24" s="74" customFormat="1" x14ac:dyDescent="0.25">
      <c r="B28" s="194" t="s">
        <v>112</v>
      </c>
      <c r="C28" s="195">
        <v>778392</v>
      </c>
      <c r="D28" s="195">
        <v>207753</v>
      </c>
      <c r="E28" s="195">
        <v>142196</v>
      </c>
      <c r="F28" s="195">
        <v>787510</v>
      </c>
      <c r="G28" s="195">
        <v>895790</v>
      </c>
      <c r="H28" s="195">
        <v>944279</v>
      </c>
      <c r="I28" s="195">
        <v>916533</v>
      </c>
      <c r="J28" s="212">
        <f t="shared" ref="J28:J35" si="11">IFERROR(I28/H28-1,"-")</f>
        <v>-2.9383264903699025E-2</v>
      </c>
      <c r="K28" s="194">
        <f t="shared" si="10"/>
        <v>-27746</v>
      </c>
      <c r="L28" s="196">
        <f t="shared" si="9"/>
        <v>0.17121760946604073</v>
      </c>
    </row>
    <row r="29" spans="1:24" s="74" customFormat="1" x14ac:dyDescent="0.25">
      <c r="B29" s="194" t="s">
        <v>115</v>
      </c>
      <c r="C29" s="195">
        <v>211456</v>
      </c>
      <c r="D29" s="195">
        <v>59666</v>
      </c>
      <c r="E29" s="195">
        <v>86791</v>
      </c>
      <c r="F29" s="195">
        <v>167550</v>
      </c>
      <c r="G29" s="195">
        <v>182276</v>
      </c>
      <c r="H29" s="195">
        <v>183716</v>
      </c>
      <c r="I29" s="195">
        <v>170020</v>
      </c>
      <c r="J29" s="212">
        <f t="shared" si="11"/>
        <v>-7.4549848679483555E-2</v>
      </c>
      <c r="K29" s="194">
        <f t="shared" si="10"/>
        <v>-13696</v>
      </c>
      <c r="L29" s="196">
        <f t="shared" si="9"/>
        <v>3.1761450991307727E-2</v>
      </c>
    </row>
    <row r="30" spans="1:24" x14ac:dyDescent="0.25">
      <c r="A30" s="1"/>
      <c r="B30" s="194" t="s">
        <v>118</v>
      </c>
      <c r="C30" s="195">
        <v>54445</v>
      </c>
      <c r="D30" s="195">
        <v>21619</v>
      </c>
      <c r="E30" s="195">
        <v>39408</v>
      </c>
      <c r="F30" s="195">
        <v>63108</v>
      </c>
      <c r="G30" s="195">
        <v>67398</v>
      </c>
      <c r="H30" s="195">
        <v>61312</v>
      </c>
      <c r="I30" s="195">
        <v>52246</v>
      </c>
      <c r="J30" s="212">
        <f t="shared" si="11"/>
        <v>-0.14786664926931103</v>
      </c>
      <c r="K30" s="194">
        <f t="shared" si="10"/>
        <v>-9066</v>
      </c>
      <c r="L30" s="196">
        <f t="shared" si="9"/>
        <v>9.7600798052691652E-3</v>
      </c>
    </row>
    <row r="31" spans="1:24" x14ac:dyDescent="0.25">
      <c r="A31" s="1"/>
      <c r="B31" s="194" t="s">
        <v>125</v>
      </c>
      <c r="C31" s="195">
        <v>65584</v>
      </c>
      <c r="D31" s="195">
        <v>19029</v>
      </c>
      <c r="E31" s="195">
        <v>34140</v>
      </c>
      <c r="F31" s="195">
        <v>82485</v>
      </c>
      <c r="G31" s="195">
        <v>75657</v>
      </c>
      <c r="H31" s="195">
        <v>74278</v>
      </c>
      <c r="I31" s="195">
        <v>70117</v>
      </c>
      <c r="J31" s="212">
        <f t="shared" si="11"/>
        <v>-5.6019278925119154E-2</v>
      </c>
      <c r="K31" s="194">
        <f t="shared" si="10"/>
        <v>-4161</v>
      </c>
      <c r="L31" s="196">
        <f t="shared" si="9"/>
        <v>1.3098562870000729E-2</v>
      </c>
    </row>
    <row r="32" spans="1:24" x14ac:dyDescent="0.25">
      <c r="A32" s="1"/>
      <c r="B32" s="194" t="s">
        <v>121</v>
      </c>
      <c r="C32" s="195">
        <v>70452</v>
      </c>
      <c r="D32" s="195">
        <v>31110</v>
      </c>
      <c r="E32" s="195">
        <v>40623</v>
      </c>
      <c r="F32" s="195">
        <v>83889</v>
      </c>
      <c r="G32" s="195">
        <v>79021</v>
      </c>
      <c r="H32" s="195">
        <v>81887</v>
      </c>
      <c r="I32" s="195">
        <v>75804</v>
      </c>
      <c r="J32" s="212">
        <f t="shared" si="11"/>
        <v>-7.4285295590264644E-2</v>
      </c>
      <c r="K32" s="194">
        <f t="shared" si="10"/>
        <v>-6083</v>
      </c>
      <c r="L32" s="196">
        <f t="shared" si="9"/>
        <v>1.416095183475527E-2</v>
      </c>
    </row>
    <row r="33" spans="1:12" x14ac:dyDescent="0.25">
      <c r="A33" s="1"/>
      <c r="B33" s="194" t="s">
        <v>130</v>
      </c>
      <c r="C33" s="195">
        <v>29693</v>
      </c>
      <c r="D33" s="195">
        <v>14181</v>
      </c>
      <c r="E33" s="195">
        <v>2869</v>
      </c>
      <c r="F33" s="195">
        <v>20513</v>
      </c>
      <c r="G33" s="195">
        <v>22690</v>
      </c>
      <c r="H33" s="195">
        <v>22592</v>
      </c>
      <c r="I33" s="195">
        <v>20063</v>
      </c>
      <c r="J33" s="212">
        <f t="shared" si="11"/>
        <v>-0.11194228045325783</v>
      </c>
      <c r="K33" s="194">
        <f t="shared" si="10"/>
        <v>-2529</v>
      </c>
      <c r="L33" s="196">
        <f t="shared" si="9"/>
        <v>3.74797077542999E-3</v>
      </c>
    </row>
    <row r="34" spans="1:12" x14ac:dyDescent="0.25">
      <c r="A34" s="193" t="s">
        <v>146</v>
      </c>
      <c r="B34" s="194" t="s">
        <v>133</v>
      </c>
      <c r="C34" s="195">
        <v>29637</v>
      </c>
      <c r="D34" s="195">
        <v>16238</v>
      </c>
      <c r="E34" s="195">
        <v>1796</v>
      </c>
      <c r="F34" s="195">
        <v>13666</v>
      </c>
      <c r="G34" s="195">
        <v>20682</v>
      </c>
      <c r="H34" s="195">
        <v>20332</v>
      </c>
      <c r="I34" s="195">
        <v>15991</v>
      </c>
      <c r="J34" s="212">
        <f t="shared" si="11"/>
        <v>-0.21350580365925631</v>
      </c>
      <c r="K34" s="194">
        <f t="shared" si="10"/>
        <v>-4341</v>
      </c>
      <c r="L34" s="196">
        <f t="shared" si="9"/>
        <v>2.9872801011763431E-3</v>
      </c>
    </row>
    <row r="35" spans="1:12" x14ac:dyDescent="0.25">
      <c r="A35" s="198" t="s">
        <v>147</v>
      </c>
      <c r="B35" s="199" t="s">
        <v>147</v>
      </c>
      <c r="C35" s="200">
        <f t="shared" ref="C35" si="12">C27-SUM(C28:C34)</f>
        <v>329317</v>
      </c>
      <c r="D35" s="200">
        <f t="shared" ref="D35:I35" si="13">D27-SUM(D28:D34)</f>
        <v>105784</v>
      </c>
      <c r="E35" s="200">
        <f t="shared" si="13"/>
        <v>146018</v>
      </c>
      <c r="F35" s="200">
        <f t="shared" si="13"/>
        <v>322972</v>
      </c>
      <c r="G35" s="200">
        <f t="shared" si="13"/>
        <v>366476</v>
      </c>
      <c r="H35" s="200">
        <f t="shared" si="13"/>
        <v>402556</v>
      </c>
      <c r="I35" s="200">
        <f t="shared" si="13"/>
        <v>387145</v>
      </c>
      <c r="J35" s="213">
        <f t="shared" si="11"/>
        <v>-3.8282872445075999E-2</v>
      </c>
      <c r="K35" s="199">
        <f>I35-H35</f>
        <v>-15411</v>
      </c>
      <c r="L35" s="201">
        <f t="shared" si="9"/>
        <v>7.2322591130630692E-2</v>
      </c>
    </row>
    <row r="36" spans="1:12" x14ac:dyDescent="0.25">
      <c r="A36" s="1"/>
      <c r="B36" s="186" t="s">
        <v>47</v>
      </c>
      <c r="C36" s="184"/>
      <c r="D36" s="184"/>
      <c r="E36" s="184"/>
      <c r="F36" s="184"/>
      <c r="G36" s="184"/>
      <c r="H36" s="184"/>
      <c r="I36" s="184"/>
      <c r="J36" s="185"/>
      <c r="K36" s="185"/>
      <c r="L36" s="184"/>
    </row>
    <row r="37" spans="1:12" x14ac:dyDescent="0.25">
      <c r="A37" s="1"/>
      <c r="B37" s="187" t="s">
        <v>70</v>
      </c>
      <c r="C37" s="209">
        <v>1318345</v>
      </c>
      <c r="D37" s="209">
        <v>405945</v>
      </c>
      <c r="E37" s="209">
        <v>371706</v>
      </c>
      <c r="F37" s="209">
        <v>1225539</v>
      </c>
      <c r="G37" s="209">
        <v>1319858</v>
      </c>
      <c r="H37" s="209">
        <v>1391730</v>
      </c>
      <c r="I37" s="209">
        <v>1422731</v>
      </c>
      <c r="J37" s="210">
        <f>IFERROR(I37/H37-1,"-")</f>
        <v>2.2275153945089832E-2</v>
      </c>
      <c r="K37" s="209">
        <f>I37-H37</f>
        <v>31001</v>
      </c>
      <c r="L37" s="210">
        <f t="shared" ref="L37:L49" si="14">I37/I$9</f>
        <v>0.26578050188397973</v>
      </c>
    </row>
    <row r="38" spans="1:12" x14ac:dyDescent="0.25">
      <c r="A38" s="1" t="s">
        <v>98</v>
      </c>
      <c r="B38" s="190" t="s">
        <v>99</v>
      </c>
      <c r="C38" s="191">
        <v>123295</v>
      </c>
      <c r="D38" s="191">
        <v>47744</v>
      </c>
      <c r="E38" s="191">
        <v>75673</v>
      </c>
      <c r="F38" s="191">
        <v>119167</v>
      </c>
      <c r="G38" s="191">
        <v>115994</v>
      </c>
      <c r="H38" s="191">
        <v>113040</v>
      </c>
      <c r="I38" s="191">
        <v>115456</v>
      </c>
      <c r="J38" s="211">
        <f>IFERROR(I38/H38-1,"-")</f>
        <v>2.1372965322009829E-2</v>
      </c>
      <c r="K38" s="190">
        <f t="shared" ref="K38:K48" si="15">I38-H38</f>
        <v>2416</v>
      </c>
      <c r="L38" s="192">
        <f t="shared" si="14"/>
        <v>2.1568345404378454E-2</v>
      </c>
    </row>
    <row r="39" spans="1:12" x14ac:dyDescent="0.25">
      <c r="A39" s="193" t="s">
        <v>105</v>
      </c>
      <c r="B39" s="194" t="s">
        <v>105</v>
      </c>
      <c r="C39" s="195">
        <v>49330</v>
      </c>
      <c r="D39" s="195">
        <v>22468</v>
      </c>
      <c r="E39" s="195">
        <v>41026</v>
      </c>
      <c r="F39" s="195">
        <v>46674</v>
      </c>
      <c r="G39" s="195">
        <v>50252</v>
      </c>
      <c r="H39" s="195">
        <v>50793</v>
      </c>
      <c r="I39" s="195">
        <v>49974</v>
      </c>
      <c r="J39" s="212">
        <f>IFERROR(I39/H39-1,"-")</f>
        <v>-1.6124269092197774E-2</v>
      </c>
      <c r="K39" s="194">
        <f t="shared" si="15"/>
        <v>-819</v>
      </c>
      <c r="L39" s="196">
        <f t="shared" si="14"/>
        <v>9.335647287610941E-3</v>
      </c>
    </row>
    <row r="40" spans="1:12" x14ac:dyDescent="0.25">
      <c r="A40" s="193" t="s">
        <v>102</v>
      </c>
      <c r="B40" s="194" t="s">
        <v>102</v>
      </c>
      <c r="C40" s="195">
        <v>73965</v>
      </c>
      <c r="D40" s="195">
        <v>25276</v>
      </c>
      <c r="E40" s="195">
        <v>34647</v>
      </c>
      <c r="F40" s="195">
        <v>72493</v>
      </c>
      <c r="G40" s="195">
        <v>65742</v>
      </c>
      <c r="H40" s="195">
        <v>62247</v>
      </c>
      <c r="I40" s="195">
        <v>65482</v>
      </c>
      <c r="J40" s="212">
        <f>IFERROR(I40/H40-1,"-")</f>
        <v>5.1970376082381531E-2</v>
      </c>
      <c r="K40" s="194">
        <f t="shared" si="15"/>
        <v>3235</v>
      </c>
      <c r="L40" s="196">
        <f t="shared" si="14"/>
        <v>1.2232698116767513E-2</v>
      </c>
    </row>
    <row r="41" spans="1:12" x14ac:dyDescent="0.25">
      <c r="A41" s="1"/>
      <c r="B41" s="190" t="s">
        <v>109</v>
      </c>
      <c r="C41" s="191">
        <v>1195050</v>
      </c>
      <c r="D41" s="191">
        <v>358201</v>
      </c>
      <c r="E41" s="191">
        <v>296033</v>
      </c>
      <c r="F41" s="191">
        <v>1106372</v>
      </c>
      <c r="G41" s="191">
        <v>1203864</v>
      </c>
      <c r="H41" s="191">
        <v>1278690</v>
      </c>
      <c r="I41" s="191">
        <v>1307275</v>
      </c>
      <c r="J41" s="211">
        <f>IFERROR(I41/H41-1,"-")</f>
        <v>2.2354910103308923E-2</v>
      </c>
      <c r="K41" s="190">
        <f t="shared" si="15"/>
        <v>28585</v>
      </c>
      <c r="L41" s="192">
        <f t="shared" si="14"/>
        <v>0.24421215647960126</v>
      </c>
    </row>
    <row r="42" spans="1:12" s="74" customFormat="1" x14ac:dyDescent="0.25">
      <c r="B42" s="194" t="s">
        <v>112</v>
      </c>
      <c r="C42" s="195">
        <v>670467</v>
      </c>
      <c r="D42" s="195">
        <v>161174</v>
      </c>
      <c r="E42" s="195">
        <v>96128</v>
      </c>
      <c r="F42" s="195">
        <v>582171</v>
      </c>
      <c r="G42" s="195">
        <v>645799</v>
      </c>
      <c r="H42" s="195">
        <v>696863</v>
      </c>
      <c r="I42" s="195">
        <v>706074</v>
      </c>
      <c r="J42" s="212">
        <f t="shared" ref="J42:J49" si="16">IFERROR(I42/H42-1,"-")</f>
        <v>1.321780608240064E-2</v>
      </c>
      <c r="K42" s="194">
        <f t="shared" si="15"/>
        <v>9211</v>
      </c>
      <c r="L42" s="196">
        <f t="shared" si="14"/>
        <v>0.13190174536664281</v>
      </c>
    </row>
    <row r="43" spans="1:12" s="74" customFormat="1" x14ac:dyDescent="0.25">
      <c r="B43" s="194" t="s">
        <v>115</v>
      </c>
      <c r="C43" s="195">
        <v>54222</v>
      </c>
      <c r="D43" s="195">
        <v>17231</v>
      </c>
      <c r="E43" s="195">
        <v>15745</v>
      </c>
      <c r="F43" s="195">
        <v>36280</v>
      </c>
      <c r="G43" s="195">
        <v>43120</v>
      </c>
      <c r="H43" s="195">
        <v>42358</v>
      </c>
      <c r="I43" s="195">
        <v>46194</v>
      </c>
      <c r="J43" s="212">
        <f t="shared" si="16"/>
        <v>9.0561405165494158E-2</v>
      </c>
      <c r="K43" s="194">
        <f t="shared" si="15"/>
        <v>3836</v>
      </c>
      <c r="L43" s="196">
        <f t="shared" si="14"/>
        <v>8.6295051587605524E-3</v>
      </c>
    </row>
    <row r="44" spans="1:12" x14ac:dyDescent="0.25">
      <c r="A44" s="1"/>
      <c r="B44" s="194" t="s">
        <v>118</v>
      </c>
      <c r="C44" s="195">
        <v>24509</v>
      </c>
      <c r="D44" s="195">
        <v>9971</v>
      </c>
      <c r="E44" s="195">
        <v>17357</v>
      </c>
      <c r="F44" s="195">
        <v>26572</v>
      </c>
      <c r="G44" s="195">
        <v>29856</v>
      </c>
      <c r="H44" s="195">
        <v>30263</v>
      </c>
      <c r="I44" s="195">
        <v>32238</v>
      </c>
      <c r="J44" s="212">
        <f t="shared" si="16"/>
        <v>6.5261210058487285E-2</v>
      </c>
      <c r="K44" s="194">
        <f t="shared" si="15"/>
        <v>1975</v>
      </c>
      <c r="L44" s="196">
        <f t="shared" si="14"/>
        <v>6.022383584624035E-3</v>
      </c>
    </row>
    <row r="45" spans="1:12" x14ac:dyDescent="0.25">
      <c r="A45" s="1"/>
      <c r="B45" s="194" t="s">
        <v>125</v>
      </c>
      <c r="C45" s="195">
        <v>57631</v>
      </c>
      <c r="D45" s="195">
        <v>15531</v>
      </c>
      <c r="E45" s="195">
        <v>24648</v>
      </c>
      <c r="F45" s="195">
        <v>61932</v>
      </c>
      <c r="G45" s="195">
        <v>59584</v>
      </c>
      <c r="H45" s="195">
        <v>61266</v>
      </c>
      <c r="I45" s="195">
        <v>56175</v>
      </c>
      <c r="J45" s="212">
        <f t="shared" si="16"/>
        <v>-8.3096660464205274E-2</v>
      </c>
      <c r="K45" s="194">
        <f t="shared" si="15"/>
        <v>-5091</v>
      </c>
      <c r="L45" s="196">
        <f t="shared" si="14"/>
        <v>1.0494056637082175E-2</v>
      </c>
    </row>
    <row r="46" spans="1:12" x14ac:dyDescent="0.25">
      <c r="A46" s="1"/>
      <c r="B46" s="194" t="s">
        <v>121</v>
      </c>
      <c r="C46" s="195">
        <v>40994</v>
      </c>
      <c r="D46" s="195">
        <v>17382</v>
      </c>
      <c r="E46" s="195">
        <v>17499</v>
      </c>
      <c r="F46" s="195">
        <v>38288</v>
      </c>
      <c r="G46" s="195">
        <v>44460</v>
      </c>
      <c r="H46" s="195">
        <v>45898</v>
      </c>
      <c r="I46" s="195">
        <v>41322</v>
      </c>
      <c r="J46" s="212">
        <f t="shared" si="16"/>
        <v>-9.9699333304283377E-2</v>
      </c>
      <c r="K46" s="194">
        <f t="shared" si="15"/>
        <v>-4576</v>
      </c>
      <c r="L46" s="196">
        <f t="shared" si="14"/>
        <v>7.7193664149089397E-3</v>
      </c>
    </row>
    <row r="47" spans="1:12" x14ac:dyDescent="0.25">
      <c r="A47" s="1"/>
      <c r="B47" s="194" t="s">
        <v>130</v>
      </c>
      <c r="C47" s="195">
        <v>25469</v>
      </c>
      <c r="D47" s="195">
        <v>12239</v>
      </c>
      <c r="E47" s="195">
        <v>5313</v>
      </c>
      <c r="F47" s="195">
        <v>20242</v>
      </c>
      <c r="G47" s="195">
        <v>21694</v>
      </c>
      <c r="H47" s="195">
        <v>20276</v>
      </c>
      <c r="I47" s="195">
        <v>20559</v>
      </c>
      <c r="J47" s="212">
        <f t="shared" si="16"/>
        <v>1.3957388044979258E-2</v>
      </c>
      <c r="K47" s="194">
        <f t="shared" si="15"/>
        <v>283</v>
      </c>
      <c r="L47" s="196">
        <f t="shared" si="14"/>
        <v>3.8406285785807289E-3</v>
      </c>
    </row>
    <row r="48" spans="1:12" x14ac:dyDescent="0.25">
      <c r="A48" s="193" t="s">
        <v>146</v>
      </c>
      <c r="B48" s="194" t="s">
        <v>133</v>
      </c>
      <c r="C48" s="195">
        <v>37110</v>
      </c>
      <c r="D48" s="195">
        <v>20602</v>
      </c>
      <c r="E48" s="195">
        <v>4098</v>
      </c>
      <c r="F48" s="195">
        <v>17511</v>
      </c>
      <c r="G48" s="195">
        <v>21865</v>
      </c>
      <c r="H48" s="195">
        <v>22263</v>
      </c>
      <c r="I48" s="195">
        <v>17822</v>
      </c>
      <c r="J48" s="212">
        <f t="shared" si="16"/>
        <v>-0.19947895611552802</v>
      </c>
      <c r="K48" s="194">
        <f t="shared" si="15"/>
        <v>-4441</v>
      </c>
      <c r="L48" s="196">
        <f t="shared" si="14"/>
        <v>3.3293293704686876E-3</v>
      </c>
    </row>
    <row r="49" spans="1:12" x14ac:dyDescent="0.25">
      <c r="A49" s="198" t="s">
        <v>147</v>
      </c>
      <c r="B49" s="199" t="s">
        <v>147</v>
      </c>
      <c r="C49" s="200">
        <f t="shared" ref="C49" si="17">C41-SUM(C42:C48)</f>
        <v>284648</v>
      </c>
      <c r="D49" s="200">
        <f t="shared" ref="D49:I49" si="18">D41-SUM(D42:D48)</f>
        <v>104071</v>
      </c>
      <c r="E49" s="200">
        <f t="shared" si="18"/>
        <v>115245</v>
      </c>
      <c r="F49" s="200">
        <f t="shared" si="18"/>
        <v>323376</v>
      </c>
      <c r="G49" s="200">
        <f t="shared" si="18"/>
        <v>337486</v>
      </c>
      <c r="H49" s="200">
        <f t="shared" si="18"/>
        <v>359503</v>
      </c>
      <c r="I49" s="200">
        <f t="shared" si="18"/>
        <v>386891</v>
      </c>
      <c r="J49" s="213">
        <f t="shared" si="16"/>
        <v>7.6182952576195451E-2</v>
      </c>
      <c r="K49" s="199">
        <f>I49-H49</f>
        <v>27388</v>
      </c>
      <c r="L49" s="201">
        <f t="shared" si="14"/>
        <v>7.227514136853333E-2</v>
      </c>
    </row>
    <row r="50" spans="1:12" x14ac:dyDescent="0.25">
      <c r="A50" s="1"/>
      <c r="B50" s="186" t="s">
        <v>48</v>
      </c>
      <c r="C50" s="184"/>
      <c r="D50" s="184"/>
      <c r="E50" s="184"/>
      <c r="F50" s="184"/>
      <c r="G50" s="184"/>
      <c r="H50" s="184"/>
      <c r="I50" s="184"/>
      <c r="J50" s="185"/>
      <c r="K50" s="185"/>
      <c r="L50" s="184"/>
    </row>
    <row r="51" spans="1:12" x14ac:dyDescent="0.25">
      <c r="A51" s="1"/>
      <c r="B51" s="187" t="s">
        <v>70</v>
      </c>
      <c r="C51" s="209">
        <v>41878</v>
      </c>
      <c r="D51" s="209">
        <v>13612</v>
      </c>
      <c r="E51" s="209">
        <v>16241</v>
      </c>
      <c r="F51" s="209">
        <v>32334</v>
      </c>
      <c r="G51" s="209">
        <v>44536</v>
      </c>
      <c r="H51" s="209">
        <v>39815</v>
      </c>
      <c r="I51" s="209">
        <v>40193</v>
      </c>
      <c r="J51" s="210">
        <f>IFERROR(I51/H51-1,"-")</f>
        <v>9.4939093306543043E-3</v>
      </c>
      <c r="K51" s="209">
        <f>I51-H51</f>
        <v>378</v>
      </c>
      <c r="L51" s="210">
        <f t="shared" ref="L51:L63" si="19">I51/I$9</f>
        <v>7.5084578266888099E-3</v>
      </c>
    </row>
    <row r="52" spans="1:12" x14ac:dyDescent="0.25">
      <c r="A52" s="1" t="s">
        <v>98</v>
      </c>
      <c r="B52" s="190" t="s">
        <v>99</v>
      </c>
      <c r="C52" s="191">
        <v>9886</v>
      </c>
      <c r="D52" s="191">
        <v>2402</v>
      </c>
      <c r="E52" s="191">
        <v>4856</v>
      </c>
      <c r="F52" s="191">
        <v>5175</v>
      </c>
      <c r="G52" s="191">
        <v>17966</v>
      </c>
      <c r="H52" s="191">
        <v>10177</v>
      </c>
      <c r="I52" s="191">
        <v>8588</v>
      </c>
      <c r="J52" s="211">
        <f>IFERROR(I52/H52-1,"-")</f>
        <v>-0.15613638596835999</v>
      </c>
      <c r="K52" s="190">
        <f t="shared" ref="K52:K62" si="20">I52-H52</f>
        <v>-1589</v>
      </c>
      <c r="L52" s="192">
        <f t="shared" si="19"/>
        <v>1.6043250271341651E-3</v>
      </c>
    </row>
    <row r="53" spans="1:12" x14ac:dyDescent="0.25">
      <c r="A53" s="193" t="s">
        <v>105</v>
      </c>
      <c r="B53" s="194" t="s">
        <v>105</v>
      </c>
      <c r="C53" s="195">
        <v>5485</v>
      </c>
      <c r="D53" s="195">
        <v>1731</v>
      </c>
      <c r="E53" s="195">
        <v>2440</v>
      </c>
      <c r="F53" s="195">
        <v>2622</v>
      </c>
      <c r="G53" s="195">
        <v>13158</v>
      </c>
      <c r="H53" s="195">
        <v>6850</v>
      </c>
      <c r="I53" s="195">
        <v>4893</v>
      </c>
      <c r="J53" s="212">
        <f>IFERROR(I53/H53-1,"-")</f>
        <v>-0.28569343065693431</v>
      </c>
      <c r="K53" s="194">
        <f t="shared" si="20"/>
        <v>-1957</v>
      </c>
      <c r="L53" s="196">
        <f t="shared" si="19"/>
        <v>9.1406175567855963E-4</v>
      </c>
    </row>
    <row r="54" spans="1:12" x14ac:dyDescent="0.25">
      <c r="A54" s="193" t="s">
        <v>102</v>
      </c>
      <c r="B54" s="194" t="s">
        <v>102</v>
      </c>
      <c r="C54" s="195">
        <v>4401</v>
      </c>
      <c r="D54" s="195">
        <v>671</v>
      </c>
      <c r="E54" s="195">
        <v>2416</v>
      </c>
      <c r="F54" s="195">
        <v>2553</v>
      </c>
      <c r="G54" s="195">
        <v>4808</v>
      </c>
      <c r="H54" s="195">
        <v>3327</v>
      </c>
      <c r="I54" s="195">
        <v>3695</v>
      </c>
      <c r="J54" s="212">
        <f>IFERROR(I54/H54-1,"-")</f>
        <v>0.11061015930267515</v>
      </c>
      <c r="K54" s="194">
        <f t="shared" si="20"/>
        <v>368</v>
      </c>
      <c r="L54" s="196">
        <f t="shared" si="19"/>
        <v>6.9026327145560549E-4</v>
      </c>
    </row>
    <row r="55" spans="1:12" x14ac:dyDescent="0.25">
      <c r="A55" s="1"/>
      <c r="B55" s="190" t="s">
        <v>109</v>
      </c>
      <c r="C55" s="191">
        <v>31992</v>
      </c>
      <c r="D55" s="191">
        <v>11210</v>
      </c>
      <c r="E55" s="191">
        <v>11385</v>
      </c>
      <c r="F55" s="191">
        <v>27159</v>
      </c>
      <c r="G55" s="191">
        <v>26570</v>
      </c>
      <c r="H55" s="191">
        <v>29638</v>
      </c>
      <c r="I55" s="191">
        <v>31605</v>
      </c>
      <c r="J55" s="211">
        <f>IFERROR(I55/H55-1,"-")</f>
        <v>6.6367501180916388E-2</v>
      </c>
      <c r="K55" s="190">
        <f t="shared" si="20"/>
        <v>1967</v>
      </c>
      <c r="L55" s="192">
        <f t="shared" si="19"/>
        <v>5.904132799554645E-3</v>
      </c>
    </row>
    <row r="56" spans="1:12" s="74" customFormat="1" x14ac:dyDescent="0.25">
      <c r="B56" s="194" t="s">
        <v>112</v>
      </c>
      <c r="C56" s="195">
        <v>10157</v>
      </c>
      <c r="D56" s="195">
        <v>3710</v>
      </c>
      <c r="E56" s="195">
        <v>2046</v>
      </c>
      <c r="F56" s="195">
        <v>9995</v>
      </c>
      <c r="G56" s="195">
        <v>8762</v>
      </c>
      <c r="H56" s="195">
        <v>10740</v>
      </c>
      <c r="I56" s="195">
        <v>11625</v>
      </c>
      <c r="J56" s="212">
        <f t="shared" ref="J56:J63" si="21">IFERROR(I56/H56-1,"-")</f>
        <v>8.2402234636871574E-2</v>
      </c>
      <c r="K56" s="194">
        <f t="shared" si="20"/>
        <v>885</v>
      </c>
      <c r="L56" s="196">
        <f t="shared" si="19"/>
        <v>2.1716672613454435E-3</v>
      </c>
    </row>
    <row r="57" spans="1:12" s="74" customFormat="1" x14ac:dyDescent="0.25">
      <c r="B57" s="194" t="s">
        <v>115</v>
      </c>
      <c r="C57" s="195">
        <v>8747</v>
      </c>
      <c r="D57" s="195">
        <v>2898</v>
      </c>
      <c r="E57" s="195">
        <v>3625</v>
      </c>
      <c r="F57" s="195">
        <v>5969</v>
      </c>
      <c r="G57" s="195">
        <v>4825</v>
      </c>
      <c r="H57" s="195">
        <v>5852</v>
      </c>
      <c r="I57" s="195">
        <v>6183</v>
      </c>
      <c r="J57" s="212">
        <f t="shared" si="21"/>
        <v>5.6561859193438035E-2</v>
      </c>
      <c r="K57" s="194">
        <f t="shared" si="20"/>
        <v>331</v>
      </c>
      <c r="L57" s="196">
        <f t="shared" si="19"/>
        <v>1.1550467679052798E-3</v>
      </c>
    </row>
    <row r="58" spans="1:12" x14ac:dyDescent="0.25">
      <c r="A58" s="1"/>
      <c r="B58" s="194" t="s">
        <v>118</v>
      </c>
      <c r="C58" s="195">
        <v>2047</v>
      </c>
      <c r="D58" s="195">
        <v>536</v>
      </c>
      <c r="E58" s="195">
        <v>1438</v>
      </c>
      <c r="F58" s="195">
        <v>2207</v>
      </c>
      <c r="G58" s="195">
        <v>2505</v>
      </c>
      <c r="H58" s="195">
        <v>2062</v>
      </c>
      <c r="I58" s="195">
        <v>2346</v>
      </c>
      <c r="J58" s="212">
        <f t="shared" si="21"/>
        <v>0.13773035887487883</v>
      </c>
      <c r="K58" s="194">
        <f t="shared" si="20"/>
        <v>284</v>
      </c>
      <c r="L58" s="196">
        <f t="shared" si="19"/>
        <v>4.3825646409603535E-4</v>
      </c>
    </row>
    <row r="59" spans="1:12" x14ac:dyDescent="0.25">
      <c r="A59" s="1"/>
      <c r="B59" s="194" t="s">
        <v>125</v>
      </c>
      <c r="C59" s="195">
        <v>747</v>
      </c>
      <c r="D59" s="195">
        <v>262</v>
      </c>
      <c r="E59" s="195">
        <v>292</v>
      </c>
      <c r="F59" s="195">
        <v>767</v>
      </c>
      <c r="G59" s="195">
        <v>633</v>
      </c>
      <c r="H59" s="195">
        <v>983</v>
      </c>
      <c r="I59" s="195">
        <v>999</v>
      </c>
      <c r="J59" s="212">
        <f t="shared" si="21"/>
        <v>1.6276703967446515E-2</v>
      </c>
      <c r="K59" s="194">
        <f t="shared" si="20"/>
        <v>16</v>
      </c>
      <c r="L59" s="196">
        <f t="shared" si="19"/>
        <v>1.8662327691046005E-4</v>
      </c>
    </row>
    <row r="60" spans="1:12" x14ac:dyDescent="0.25">
      <c r="A60" s="1"/>
      <c r="B60" s="194" t="s">
        <v>121</v>
      </c>
      <c r="C60" s="195">
        <v>712</v>
      </c>
      <c r="D60" s="195">
        <v>243</v>
      </c>
      <c r="E60" s="195">
        <v>311</v>
      </c>
      <c r="F60" s="195">
        <v>597</v>
      </c>
      <c r="G60" s="195">
        <v>586</v>
      </c>
      <c r="H60" s="195">
        <v>660</v>
      </c>
      <c r="I60" s="195">
        <v>741</v>
      </c>
      <c r="J60" s="212">
        <f t="shared" si="21"/>
        <v>0.1227272727272728</v>
      </c>
      <c r="K60" s="194">
        <f t="shared" si="20"/>
        <v>81</v>
      </c>
      <c r="L60" s="196">
        <f t="shared" si="19"/>
        <v>1.3842627446511601E-4</v>
      </c>
    </row>
    <row r="61" spans="1:12" x14ac:dyDescent="0.25">
      <c r="A61" s="1"/>
      <c r="B61" s="194" t="s">
        <v>130</v>
      </c>
      <c r="C61" s="195">
        <v>211</v>
      </c>
      <c r="D61" s="195">
        <v>147</v>
      </c>
      <c r="E61" s="195">
        <v>47</v>
      </c>
      <c r="F61" s="195">
        <v>84</v>
      </c>
      <c r="G61" s="195">
        <v>199</v>
      </c>
      <c r="H61" s="195">
        <v>115</v>
      </c>
      <c r="I61" s="195">
        <v>192</v>
      </c>
      <c r="J61" s="212">
        <f t="shared" si="21"/>
        <v>0.66956521739130426</v>
      </c>
      <c r="K61" s="194">
        <f t="shared" si="20"/>
        <v>77</v>
      </c>
      <c r="L61" s="196">
        <f t="shared" si="19"/>
        <v>3.5867536703511841E-5</v>
      </c>
    </row>
    <row r="62" spans="1:12" x14ac:dyDescent="0.25">
      <c r="A62" s="193" t="s">
        <v>146</v>
      </c>
      <c r="B62" s="194" t="s">
        <v>133</v>
      </c>
      <c r="C62" s="195">
        <v>367</v>
      </c>
      <c r="D62" s="195">
        <v>259</v>
      </c>
      <c r="E62" s="195">
        <v>46</v>
      </c>
      <c r="F62" s="195">
        <v>116</v>
      </c>
      <c r="G62" s="195">
        <v>177</v>
      </c>
      <c r="H62" s="195">
        <v>115</v>
      </c>
      <c r="I62" s="195">
        <v>457</v>
      </c>
      <c r="J62" s="212">
        <f t="shared" si="21"/>
        <v>2.973913043478261</v>
      </c>
      <c r="K62" s="194">
        <f t="shared" si="20"/>
        <v>342</v>
      </c>
      <c r="L62" s="196">
        <f t="shared" si="19"/>
        <v>8.5372209757838088E-5</v>
      </c>
    </row>
    <row r="63" spans="1:12" x14ac:dyDescent="0.25">
      <c r="A63" s="198" t="s">
        <v>147</v>
      </c>
      <c r="B63" s="199" t="s">
        <v>147</v>
      </c>
      <c r="C63" s="200">
        <f t="shared" ref="C63" si="22">C55-SUM(C56:C62)</f>
        <v>9004</v>
      </c>
      <c r="D63" s="200">
        <f t="shared" ref="D63:I63" si="23">D55-SUM(D56:D62)</f>
        <v>3155</v>
      </c>
      <c r="E63" s="200">
        <f t="shared" si="23"/>
        <v>3580</v>
      </c>
      <c r="F63" s="200">
        <f t="shared" si="23"/>
        <v>7424</v>
      </c>
      <c r="G63" s="200">
        <f t="shared" si="23"/>
        <v>8883</v>
      </c>
      <c r="H63" s="200">
        <f t="shared" si="23"/>
        <v>9111</v>
      </c>
      <c r="I63" s="200">
        <f t="shared" si="23"/>
        <v>9062</v>
      </c>
      <c r="J63" s="213">
        <f t="shared" si="21"/>
        <v>-5.3781143672483323E-3</v>
      </c>
      <c r="K63" s="199">
        <f>I63-H63</f>
        <v>-49</v>
      </c>
      <c r="L63" s="201">
        <f t="shared" si="19"/>
        <v>1.6928730083709601E-3</v>
      </c>
    </row>
    <row r="64" spans="1:12" x14ac:dyDescent="0.25">
      <c r="A64" s="1"/>
      <c r="B64" s="186" t="s">
        <v>49</v>
      </c>
      <c r="C64" s="184"/>
      <c r="D64" s="184"/>
      <c r="E64" s="184"/>
      <c r="F64" s="184"/>
      <c r="G64" s="184"/>
      <c r="H64" s="184"/>
      <c r="I64" s="184"/>
      <c r="J64" s="185"/>
      <c r="K64" s="185"/>
      <c r="L64" s="184"/>
    </row>
    <row r="65" spans="1:12" x14ac:dyDescent="0.25">
      <c r="A65" s="1"/>
      <c r="B65" s="187" t="s">
        <v>70</v>
      </c>
      <c r="C65" s="209">
        <v>135240</v>
      </c>
      <c r="D65" s="209">
        <v>48337</v>
      </c>
      <c r="E65" s="209">
        <v>55072</v>
      </c>
      <c r="F65" s="209">
        <v>154928</v>
      </c>
      <c r="G65" s="209">
        <v>178758</v>
      </c>
      <c r="H65" s="209">
        <v>231699</v>
      </c>
      <c r="I65" s="209">
        <v>182828</v>
      </c>
      <c r="J65" s="210">
        <f>IFERROR(I65/H65-1,"-")</f>
        <v>-0.21092451844850435</v>
      </c>
      <c r="K65" s="209">
        <f>I65-H65</f>
        <v>-48871</v>
      </c>
      <c r="L65" s="210">
        <f t="shared" ref="L65:L77" si="24">I65/I$9</f>
        <v>3.415411458557116E-2</v>
      </c>
    </row>
    <row r="66" spans="1:12" x14ac:dyDescent="0.25">
      <c r="A66" s="1" t="s">
        <v>98</v>
      </c>
      <c r="B66" s="190" t="s">
        <v>99</v>
      </c>
      <c r="C66" s="191">
        <v>40983</v>
      </c>
      <c r="D66" s="191">
        <v>22067</v>
      </c>
      <c r="E66" s="191">
        <v>25692</v>
      </c>
      <c r="F66" s="191">
        <v>33212</v>
      </c>
      <c r="G66" s="191">
        <v>45057</v>
      </c>
      <c r="H66" s="191">
        <v>59678</v>
      </c>
      <c r="I66" s="191">
        <v>41266</v>
      </c>
      <c r="J66" s="211">
        <f>IFERROR(I66/H66-1,"-")</f>
        <v>-0.30852240356580318</v>
      </c>
      <c r="K66" s="190">
        <f t="shared" ref="K66:K76" si="25">I66-H66</f>
        <v>-18412</v>
      </c>
      <c r="L66" s="192">
        <f t="shared" si="24"/>
        <v>7.7089050500370815E-3</v>
      </c>
    </row>
    <row r="67" spans="1:12" x14ac:dyDescent="0.25">
      <c r="A67" s="193" t="s">
        <v>105</v>
      </c>
      <c r="B67" s="194" t="s">
        <v>105</v>
      </c>
      <c r="C67" s="195">
        <v>22092</v>
      </c>
      <c r="D67" s="195">
        <v>7735</v>
      </c>
      <c r="E67" s="195">
        <v>21527</v>
      </c>
      <c r="F67" s="195">
        <v>24567</v>
      </c>
      <c r="G67" s="195">
        <v>30531</v>
      </c>
      <c r="H67" s="195">
        <v>35882</v>
      </c>
      <c r="I67" s="195">
        <v>14400</v>
      </c>
      <c r="J67" s="212">
        <f>IFERROR(I67/H67-1,"-")</f>
        <v>-0.59868457722534973</v>
      </c>
      <c r="K67" s="194">
        <f t="shared" si="25"/>
        <v>-21482</v>
      </c>
      <c r="L67" s="196">
        <f t="shared" si="24"/>
        <v>2.6900652527633881E-3</v>
      </c>
    </row>
    <row r="68" spans="1:12" x14ac:dyDescent="0.25">
      <c r="A68" s="193" t="s">
        <v>102</v>
      </c>
      <c r="B68" s="194" t="s">
        <v>102</v>
      </c>
      <c r="C68" s="195">
        <v>18891</v>
      </c>
      <c r="D68" s="195">
        <v>14332</v>
      </c>
      <c r="E68" s="195">
        <v>4165</v>
      </c>
      <c r="F68" s="195">
        <v>8645</v>
      </c>
      <c r="G68" s="195">
        <v>14526</v>
      </c>
      <c r="H68" s="195">
        <v>23796</v>
      </c>
      <c r="I68" s="195">
        <v>26866</v>
      </c>
      <c r="J68" s="212">
        <f>IFERROR(I68/H68-1,"-")</f>
        <v>0.1290132795427803</v>
      </c>
      <c r="K68" s="194">
        <f t="shared" si="25"/>
        <v>3070</v>
      </c>
      <c r="L68" s="196">
        <f t="shared" si="24"/>
        <v>5.0188397972736939E-3</v>
      </c>
    </row>
    <row r="69" spans="1:12" x14ac:dyDescent="0.25">
      <c r="A69" s="1"/>
      <c r="B69" s="190" t="s">
        <v>109</v>
      </c>
      <c r="C69" s="191">
        <v>94257</v>
      </c>
      <c r="D69" s="191">
        <v>26270</v>
      </c>
      <c r="E69" s="191">
        <v>29380</v>
      </c>
      <c r="F69" s="191">
        <v>121716</v>
      </c>
      <c r="G69" s="191">
        <v>133701</v>
      </c>
      <c r="H69" s="191">
        <v>172021</v>
      </c>
      <c r="I69" s="191">
        <v>141562</v>
      </c>
      <c r="J69" s="211">
        <f>IFERROR(I69/H69-1,"-")</f>
        <v>-0.17706559082902673</v>
      </c>
      <c r="K69" s="190">
        <f t="shared" si="25"/>
        <v>-30459</v>
      </c>
      <c r="L69" s="192">
        <f t="shared" si="24"/>
        <v>2.644520953553408E-2</v>
      </c>
    </row>
    <row r="70" spans="1:12" s="74" customFormat="1" x14ac:dyDescent="0.25">
      <c r="B70" s="194" t="s">
        <v>112</v>
      </c>
      <c r="C70" s="195">
        <v>40780</v>
      </c>
      <c r="D70" s="195">
        <v>10014</v>
      </c>
      <c r="E70" s="195">
        <v>8710</v>
      </c>
      <c r="F70" s="195">
        <v>57290</v>
      </c>
      <c r="G70" s="195">
        <v>48659</v>
      </c>
      <c r="H70" s="195">
        <v>73362</v>
      </c>
      <c r="I70" s="195">
        <v>73064</v>
      </c>
      <c r="J70" s="212">
        <f t="shared" ref="J70:J77" si="26">IFERROR(I70/H70-1,"-")</f>
        <v>-4.0620484719610106E-3</v>
      </c>
      <c r="K70" s="194">
        <f t="shared" si="25"/>
        <v>-298</v>
      </c>
      <c r="L70" s="196">
        <f t="shared" si="24"/>
        <v>1.3649092196382237E-2</v>
      </c>
    </row>
    <row r="71" spans="1:12" s="74" customFormat="1" x14ac:dyDescent="0.25">
      <c r="B71" s="194" t="s">
        <v>115</v>
      </c>
      <c r="C71" s="195">
        <v>11799</v>
      </c>
      <c r="D71" s="195">
        <v>3271</v>
      </c>
      <c r="E71" s="195">
        <v>3870</v>
      </c>
      <c r="F71" s="195">
        <v>7628</v>
      </c>
      <c r="G71" s="195">
        <v>9458</v>
      </c>
      <c r="H71" s="195">
        <v>9775</v>
      </c>
      <c r="I71" s="195">
        <v>10013</v>
      </c>
      <c r="J71" s="212">
        <f t="shared" si="26"/>
        <v>2.4347826086956514E-2</v>
      </c>
      <c r="K71" s="194">
        <f t="shared" si="25"/>
        <v>238</v>
      </c>
      <c r="L71" s="196">
        <f t="shared" si="24"/>
        <v>1.8705294011055421E-3</v>
      </c>
    </row>
    <row r="72" spans="1:12" x14ac:dyDescent="0.25">
      <c r="A72" s="1"/>
      <c r="B72" s="194" t="s">
        <v>118</v>
      </c>
      <c r="C72" s="195">
        <v>10855</v>
      </c>
      <c r="D72" s="195">
        <v>3309</v>
      </c>
      <c r="E72" s="195">
        <v>4103</v>
      </c>
      <c r="F72" s="195">
        <v>16897</v>
      </c>
      <c r="G72" s="195">
        <v>17324</v>
      </c>
      <c r="H72" s="195">
        <v>21283</v>
      </c>
      <c r="I72" s="195">
        <v>9972</v>
      </c>
      <c r="J72" s="212">
        <f t="shared" si="26"/>
        <v>-0.53145703143353851</v>
      </c>
      <c r="K72" s="194">
        <f t="shared" si="25"/>
        <v>-11311</v>
      </c>
      <c r="L72" s="196">
        <f t="shared" si="24"/>
        <v>1.8628701875386463E-3</v>
      </c>
    </row>
    <row r="73" spans="1:12" x14ac:dyDescent="0.25">
      <c r="A73" s="1"/>
      <c r="B73" s="194" t="s">
        <v>125</v>
      </c>
      <c r="C73" s="195">
        <v>1783</v>
      </c>
      <c r="D73" s="195">
        <v>303</v>
      </c>
      <c r="E73" s="195">
        <v>2186</v>
      </c>
      <c r="F73" s="195">
        <v>3247</v>
      </c>
      <c r="G73" s="195">
        <v>4008</v>
      </c>
      <c r="H73" s="195">
        <v>6723</v>
      </c>
      <c r="I73" s="195">
        <v>5650</v>
      </c>
      <c r="J73" s="212">
        <f t="shared" si="26"/>
        <v>-0.1596013684367098</v>
      </c>
      <c r="K73" s="194">
        <f t="shared" si="25"/>
        <v>-1073</v>
      </c>
      <c r="L73" s="196">
        <f t="shared" si="24"/>
        <v>1.0554769915356349E-3</v>
      </c>
    </row>
    <row r="74" spans="1:12" x14ac:dyDescent="0.25">
      <c r="A74" s="1"/>
      <c r="B74" s="194" t="s">
        <v>121</v>
      </c>
      <c r="C74" s="195">
        <v>2137</v>
      </c>
      <c r="D74" s="195">
        <v>1049</v>
      </c>
      <c r="E74" s="195">
        <v>1560</v>
      </c>
      <c r="F74" s="195">
        <v>3254</v>
      </c>
      <c r="G74" s="195">
        <v>2822</v>
      </c>
      <c r="H74" s="195">
        <v>4267</v>
      </c>
      <c r="I74" s="195">
        <v>2903</v>
      </c>
      <c r="J74" s="212">
        <f t="shared" si="26"/>
        <v>-0.31966252636512771</v>
      </c>
      <c r="K74" s="194">
        <f t="shared" si="25"/>
        <v>-1364</v>
      </c>
      <c r="L74" s="196">
        <f t="shared" si="24"/>
        <v>5.4230968255361914E-4</v>
      </c>
    </row>
    <row r="75" spans="1:12" x14ac:dyDescent="0.25">
      <c r="A75" s="1"/>
      <c r="B75" s="194" t="s">
        <v>130</v>
      </c>
      <c r="C75" s="195">
        <v>1797</v>
      </c>
      <c r="D75" s="195">
        <v>835</v>
      </c>
      <c r="E75" s="195">
        <v>134</v>
      </c>
      <c r="F75" s="195">
        <v>1819</v>
      </c>
      <c r="G75" s="195">
        <v>4234</v>
      </c>
      <c r="H75" s="195">
        <v>3124</v>
      </c>
      <c r="I75" s="195">
        <v>1968</v>
      </c>
      <c r="J75" s="212">
        <f t="shared" si="26"/>
        <v>-0.37003841229193346</v>
      </c>
      <c r="K75" s="194">
        <f t="shared" si="25"/>
        <v>-1156</v>
      </c>
      <c r="L75" s="196">
        <f t="shared" si="24"/>
        <v>3.676422512109964E-4</v>
      </c>
    </row>
    <row r="76" spans="1:12" x14ac:dyDescent="0.25">
      <c r="A76" s="193" t="s">
        <v>146</v>
      </c>
      <c r="B76" s="194" t="s">
        <v>133</v>
      </c>
      <c r="C76" s="195">
        <v>1872</v>
      </c>
      <c r="D76" s="195">
        <v>1047</v>
      </c>
      <c r="E76" s="195">
        <v>62</v>
      </c>
      <c r="F76" s="195">
        <v>557</v>
      </c>
      <c r="G76" s="195">
        <v>1200</v>
      </c>
      <c r="H76" s="195">
        <v>2268</v>
      </c>
      <c r="I76" s="195">
        <v>2628</v>
      </c>
      <c r="J76" s="212">
        <f t="shared" si="26"/>
        <v>0.15873015873015883</v>
      </c>
      <c r="K76" s="194">
        <f t="shared" si="25"/>
        <v>360</v>
      </c>
      <c r="L76" s="196">
        <f t="shared" si="24"/>
        <v>4.9093690862931836E-4</v>
      </c>
    </row>
    <row r="77" spans="1:12" x14ac:dyDescent="0.25">
      <c r="A77" s="198" t="s">
        <v>147</v>
      </c>
      <c r="B77" s="199" t="s">
        <v>147</v>
      </c>
      <c r="C77" s="200">
        <f t="shared" ref="C77" si="27">C69-SUM(C70:C76)</f>
        <v>23234</v>
      </c>
      <c r="D77" s="200">
        <f t="shared" ref="D77:I77" si="28">D69-SUM(D70:D76)</f>
        <v>6442</v>
      </c>
      <c r="E77" s="200">
        <f t="shared" si="28"/>
        <v>8755</v>
      </c>
      <c r="F77" s="200">
        <f t="shared" si="28"/>
        <v>31024</v>
      </c>
      <c r="G77" s="200">
        <f t="shared" si="28"/>
        <v>45996</v>
      </c>
      <c r="H77" s="200">
        <f t="shared" si="28"/>
        <v>51219</v>
      </c>
      <c r="I77" s="200">
        <f t="shared" si="28"/>
        <v>35364</v>
      </c>
      <c r="J77" s="213">
        <f t="shared" si="26"/>
        <v>-0.30955309553095534</v>
      </c>
      <c r="K77" s="199">
        <f>I77-H77</f>
        <v>-15855</v>
      </c>
      <c r="L77" s="201">
        <f t="shared" si="24"/>
        <v>6.6063519165780876E-3</v>
      </c>
    </row>
    <row r="78" spans="1:12" x14ac:dyDescent="0.25">
      <c r="A78" s="1"/>
      <c r="B78" s="186" t="s">
        <v>50</v>
      </c>
      <c r="C78" s="184"/>
      <c r="D78" s="184"/>
      <c r="E78" s="184"/>
      <c r="F78" s="184"/>
      <c r="G78" s="184"/>
      <c r="H78" s="184"/>
      <c r="I78" s="184"/>
      <c r="J78" s="185"/>
      <c r="K78" s="185"/>
      <c r="L78" s="184"/>
    </row>
    <row r="79" spans="1:12" x14ac:dyDescent="0.25">
      <c r="A79" s="1"/>
      <c r="B79" s="187" t="s">
        <v>70</v>
      </c>
      <c r="C79" s="209">
        <v>786209</v>
      </c>
      <c r="D79" s="209">
        <v>242595</v>
      </c>
      <c r="E79" s="209">
        <v>291531</v>
      </c>
      <c r="F79" s="209">
        <v>677880</v>
      </c>
      <c r="G79" s="209">
        <v>780881</v>
      </c>
      <c r="H79" s="209">
        <v>898868</v>
      </c>
      <c r="I79" s="209">
        <v>917708</v>
      </c>
      <c r="J79" s="210">
        <f>IFERROR(I79/H79-1,"-")</f>
        <v>2.0959695973157277E-2</v>
      </c>
      <c r="K79" s="209">
        <f>I79-H79</f>
        <v>18840</v>
      </c>
      <c r="L79" s="210">
        <f t="shared" ref="L79:L91" si="29">I79/I$9</f>
        <v>0.17143711131826275</v>
      </c>
    </row>
    <row r="80" spans="1:12" x14ac:dyDescent="0.25">
      <c r="A80" s="1" t="s">
        <v>98</v>
      </c>
      <c r="B80" s="190" t="s">
        <v>99</v>
      </c>
      <c r="C80" s="191">
        <v>348498</v>
      </c>
      <c r="D80" s="191">
        <v>97710</v>
      </c>
      <c r="E80" s="191">
        <v>162976</v>
      </c>
      <c r="F80" s="191">
        <v>331428</v>
      </c>
      <c r="G80" s="191">
        <v>340825</v>
      </c>
      <c r="H80" s="191">
        <v>368926</v>
      </c>
      <c r="I80" s="191">
        <v>386223</v>
      </c>
      <c r="J80" s="211">
        <f>IFERROR(I80/H80-1,"-")</f>
        <v>4.6884741113393913E-2</v>
      </c>
      <c r="K80" s="190">
        <f t="shared" ref="K80:K90" si="30">I80-H80</f>
        <v>17297</v>
      </c>
      <c r="L80" s="192">
        <f t="shared" si="29"/>
        <v>7.2150352230419032E-2</v>
      </c>
    </row>
    <row r="81" spans="1:12" x14ac:dyDescent="0.25">
      <c r="A81" s="193" t="s">
        <v>105</v>
      </c>
      <c r="B81" s="194" t="s">
        <v>105</v>
      </c>
      <c r="C81" s="195">
        <v>65778</v>
      </c>
      <c r="D81" s="195">
        <v>21899</v>
      </c>
      <c r="E81" s="195">
        <v>58305</v>
      </c>
      <c r="F81" s="195">
        <v>90250</v>
      </c>
      <c r="G81" s="195">
        <v>87831</v>
      </c>
      <c r="H81" s="195">
        <v>99114</v>
      </c>
      <c r="I81" s="195">
        <v>93818</v>
      </c>
      <c r="J81" s="212">
        <f>IFERROR(I81/H81-1,"-")</f>
        <v>-5.3433420102104612E-2</v>
      </c>
      <c r="K81" s="194">
        <f t="shared" si="30"/>
        <v>-5296</v>
      </c>
      <c r="L81" s="196">
        <f t="shared" si="29"/>
        <v>1.7526148741927469E-2</v>
      </c>
    </row>
    <row r="82" spans="1:12" x14ac:dyDescent="0.25">
      <c r="A82" s="193" t="s">
        <v>102</v>
      </c>
      <c r="B82" s="194" t="s">
        <v>102</v>
      </c>
      <c r="C82" s="195">
        <v>282720</v>
      </c>
      <c r="D82" s="195">
        <v>75811</v>
      </c>
      <c r="E82" s="195">
        <v>104671</v>
      </c>
      <c r="F82" s="195">
        <v>241178</v>
      </c>
      <c r="G82" s="195">
        <v>252994</v>
      </c>
      <c r="H82" s="195">
        <v>269812</v>
      </c>
      <c r="I82" s="195">
        <v>292405</v>
      </c>
      <c r="J82" s="212">
        <f>IFERROR(I82/H82-1,"-")</f>
        <v>8.373608290216894E-2</v>
      </c>
      <c r="K82" s="194">
        <f t="shared" si="30"/>
        <v>22593</v>
      </c>
      <c r="L82" s="196">
        <f t="shared" si="29"/>
        <v>5.4624203488491563E-2</v>
      </c>
    </row>
    <row r="83" spans="1:12" x14ac:dyDescent="0.25">
      <c r="A83" s="1"/>
      <c r="B83" s="190" t="s">
        <v>109</v>
      </c>
      <c r="C83" s="191">
        <v>437711</v>
      </c>
      <c r="D83" s="191">
        <v>144885</v>
      </c>
      <c r="E83" s="191">
        <v>128555</v>
      </c>
      <c r="F83" s="191">
        <v>346452</v>
      </c>
      <c r="G83" s="191">
        <v>440056</v>
      </c>
      <c r="H83" s="191">
        <v>529942</v>
      </c>
      <c r="I83" s="191">
        <v>531485</v>
      </c>
      <c r="J83" s="211">
        <f>IFERROR(I83/H83-1,"-")</f>
        <v>2.9116393869517143E-3</v>
      </c>
      <c r="K83" s="190">
        <f t="shared" si="30"/>
        <v>1543</v>
      </c>
      <c r="L83" s="192">
        <f t="shared" si="29"/>
        <v>9.9286759087843707E-2</v>
      </c>
    </row>
    <row r="84" spans="1:12" s="74" customFormat="1" x14ac:dyDescent="0.25">
      <c r="B84" s="194" t="s">
        <v>112</v>
      </c>
      <c r="C84" s="195">
        <v>74915</v>
      </c>
      <c r="D84" s="195">
        <v>23648</v>
      </c>
      <c r="E84" s="195">
        <v>11950</v>
      </c>
      <c r="F84" s="195">
        <v>68876</v>
      </c>
      <c r="G84" s="195">
        <v>91920</v>
      </c>
      <c r="H84" s="195">
        <v>111305</v>
      </c>
      <c r="I84" s="195">
        <v>116864</v>
      </c>
      <c r="J84" s="212">
        <f t="shared" ref="J84:J91" si="31">IFERROR(I84/H84-1,"-")</f>
        <v>4.9943847985265633E-2</v>
      </c>
      <c r="K84" s="194">
        <f t="shared" si="30"/>
        <v>5559</v>
      </c>
      <c r="L84" s="196">
        <f t="shared" si="29"/>
        <v>2.1831374006870876E-2</v>
      </c>
    </row>
    <row r="85" spans="1:12" s="74" customFormat="1" x14ac:dyDescent="0.25">
      <c r="B85" s="194" t="s">
        <v>115</v>
      </c>
      <c r="C85" s="195">
        <v>167682</v>
      </c>
      <c r="D85" s="195">
        <v>50548</v>
      </c>
      <c r="E85" s="195">
        <v>36661</v>
      </c>
      <c r="F85" s="195">
        <v>108547</v>
      </c>
      <c r="G85" s="195">
        <v>125339</v>
      </c>
      <c r="H85" s="195">
        <v>143407</v>
      </c>
      <c r="I85" s="195">
        <v>138493</v>
      </c>
      <c r="J85" s="212">
        <f t="shared" si="31"/>
        <v>-3.4266109743596895E-2</v>
      </c>
      <c r="K85" s="194">
        <f t="shared" si="30"/>
        <v>-4914</v>
      </c>
      <c r="L85" s="196">
        <f t="shared" si="29"/>
        <v>2.5871889378538883E-2</v>
      </c>
    </row>
    <row r="86" spans="1:12" x14ac:dyDescent="0.25">
      <c r="A86" s="1"/>
      <c r="B86" s="194" t="s">
        <v>118</v>
      </c>
      <c r="C86" s="195">
        <v>25481</v>
      </c>
      <c r="D86" s="195">
        <v>8631</v>
      </c>
      <c r="E86" s="195">
        <v>16912</v>
      </c>
      <c r="F86" s="195">
        <v>28991</v>
      </c>
      <c r="G86" s="195">
        <v>41106</v>
      </c>
      <c r="H86" s="195">
        <v>58887</v>
      </c>
      <c r="I86" s="195">
        <v>58392</v>
      </c>
      <c r="J86" s="212">
        <f t="shared" si="31"/>
        <v>-8.4059300015283389E-3</v>
      </c>
      <c r="K86" s="194">
        <f t="shared" si="30"/>
        <v>-495</v>
      </c>
      <c r="L86" s="196">
        <f t="shared" si="29"/>
        <v>1.090821459995554E-2</v>
      </c>
    </row>
    <row r="87" spans="1:12" x14ac:dyDescent="0.25">
      <c r="A87" s="1"/>
      <c r="B87" s="194" t="s">
        <v>125</v>
      </c>
      <c r="C87" s="195">
        <v>9922</v>
      </c>
      <c r="D87" s="195">
        <v>2236</v>
      </c>
      <c r="E87" s="195">
        <v>4211</v>
      </c>
      <c r="F87" s="195">
        <v>10564</v>
      </c>
      <c r="G87" s="195">
        <v>12277</v>
      </c>
      <c r="H87" s="195">
        <v>18683</v>
      </c>
      <c r="I87" s="195">
        <v>16447</v>
      </c>
      <c r="J87" s="212">
        <f t="shared" si="31"/>
        <v>-0.11968099341647487</v>
      </c>
      <c r="K87" s="194">
        <f t="shared" si="30"/>
        <v>-2236</v>
      </c>
      <c r="L87" s="196">
        <f t="shared" si="29"/>
        <v>3.072465500847184E-3</v>
      </c>
    </row>
    <row r="88" spans="1:12" x14ac:dyDescent="0.25">
      <c r="A88" s="1"/>
      <c r="B88" s="194" t="s">
        <v>121</v>
      </c>
      <c r="C88" s="195">
        <v>6649</v>
      </c>
      <c r="D88" s="195">
        <v>2296</v>
      </c>
      <c r="E88" s="195">
        <v>4139</v>
      </c>
      <c r="F88" s="195">
        <v>5401</v>
      </c>
      <c r="G88" s="195">
        <v>6642</v>
      </c>
      <c r="H88" s="195">
        <v>8741</v>
      </c>
      <c r="I88" s="195">
        <v>9253</v>
      </c>
      <c r="J88" s="212">
        <f t="shared" si="31"/>
        <v>5.8574533806200701E-2</v>
      </c>
      <c r="K88" s="194">
        <f t="shared" si="30"/>
        <v>512</v>
      </c>
      <c r="L88" s="196">
        <f t="shared" si="29"/>
        <v>1.7285537349874744E-3</v>
      </c>
    </row>
    <row r="89" spans="1:12" x14ac:dyDescent="0.25">
      <c r="A89" s="1"/>
      <c r="B89" s="194" t="s">
        <v>130</v>
      </c>
      <c r="C89" s="195">
        <v>8053</v>
      </c>
      <c r="D89" s="195">
        <v>4131</v>
      </c>
      <c r="E89" s="195">
        <v>1045</v>
      </c>
      <c r="F89" s="195">
        <v>6146</v>
      </c>
      <c r="G89" s="195">
        <v>7906</v>
      </c>
      <c r="H89" s="195">
        <v>7183</v>
      </c>
      <c r="I89" s="195">
        <v>7640</v>
      </c>
      <c r="J89" s="212">
        <f t="shared" si="31"/>
        <v>6.3622441876653113E-2</v>
      </c>
      <c r="K89" s="194">
        <f t="shared" si="30"/>
        <v>457</v>
      </c>
      <c r="L89" s="196">
        <f t="shared" si="29"/>
        <v>1.4272290646605754E-3</v>
      </c>
    </row>
    <row r="90" spans="1:12" x14ac:dyDescent="0.25">
      <c r="A90" s="193" t="s">
        <v>146</v>
      </c>
      <c r="B90" s="194" t="s">
        <v>133</v>
      </c>
      <c r="C90" s="195">
        <v>11036</v>
      </c>
      <c r="D90" s="195">
        <v>6645</v>
      </c>
      <c r="E90" s="195">
        <v>1042</v>
      </c>
      <c r="F90" s="195">
        <v>5530</v>
      </c>
      <c r="G90" s="195">
        <v>8311</v>
      </c>
      <c r="H90" s="195">
        <v>8721</v>
      </c>
      <c r="I90" s="195">
        <v>6133</v>
      </c>
      <c r="J90" s="212">
        <f t="shared" si="31"/>
        <v>-0.29675495929365903</v>
      </c>
      <c r="K90" s="194">
        <f t="shared" si="30"/>
        <v>-2588</v>
      </c>
      <c r="L90" s="196">
        <f t="shared" si="29"/>
        <v>1.1457062635554069E-3</v>
      </c>
    </row>
    <row r="91" spans="1:12" x14ac:dyDescent="0.25">
      <c r="A91" s="198" t="s">
        <v>147</v>
      </c>
      <c r="B91" s="199" t="s">
        <v>147</v>
      </c>
      <c r="C91" s="200">
        <f t="shared" ref="C91" si="32">C83-SUM(C84:C90)</f>
        <v>133973</v>
      </c>
      <c r="D91" s="200">
        <f t="shared" ref="D91:I91" si="33">D83-SUM(D84:D90)</f>
        <v>46750</v>
      </c>
      <c r="E91" s="200">
        <f t="shared" si="33"/>
        <v>52595</v>
      </c>
      <c r="F91" s="200">
        <f t="shared" si="33"/>
        <v>112397</v>
      </c>
      <c r="G91" s="200">
        <f t="shared" si="33"/>
        <v>146555</v>
      </c>
      <c r="H91" s="200">
        <f t="shared" si="33"/>
        <v>173015</v>
      </c>
      <c r="I91" s="200">
        <f t="shared" si="33"/>
        <v>178263</v>
      </c>
      <c r="J91" s="213">
        <f t="shared" si="31"/>
        <v>3.033263011877585E-2</v>
      </c>
      <c r="K91" s="199">
        <f>I91-H91</f>
        <v>5248</v>
      </c>
      <c r="L91" s="201">
        <f t="shared" si="29"/>
        <v>3.3301326538427767E-2</v>
      </c>
    </row>
    <row r="92" spans="1:12" x14ac:dyDescent="0.25">
      <c r="A92" s="1"/>
      <c r="B92" s="186" t="s">
        <v>51</v>
      </c>
      <c r="C92" s="184"/>
      <c r="D92" s="184"/>
      <c r="E92" s="184"/>
      <c r="F92" s="184"/>
      <c r="G92" s="184"/>
      <c r="H92" s="184"/>
      <c r="I92" s="184"/>
      <c r="J92" s="185"/>
      <c r="K92" s="185"/>
      <c r="L92" s="184"/>
    </row>
    <row r="93" spans="1:12" x14ac:dyDescent="0.25">
      <c r="A93" s="1"/>
      <c r="B93" s="187" t="s">
        <v>70</v>
      </c>
      <c r="C93" s="209">
        <v>46156</v>
      </c>
      <c r="D93" s="209">
        <v>20050</v>
      </c>
      <c r="E93" s="209">
        <v>25369</v>
      </c>
      <c r="F93" s="209">
        <v>43371</v>
      </c>
      <c r="G93" s="209">
        <v>50896</v>
      </c>
      <c r="H93" s="209">
        <v>49021</v>
      </c>
      <c r="I93" s="209">
        <v>48804</v>
      </c>
      <c r="J93" s="210">
        <f>IFERROR(I93/H93-1,"-")</f>
        <v>-4.4266742824503602E-3</v>
      </c>
      <c r="K93" s="209">
        <f>I93-H93</f>
        <v>-217</v>
      </c>
      <c r="L93" s="210">
        <f t="shared" ref="L93:L105" si="34">I93/I$9</f>
        <v>9.117079485823916E-3</v>
      </c>
    </row>
    <row r="94" spans="1:12" x14ac:dyDescent="0.25">
      <c r="A94" s="1" t="s">
        <v>98</v>
      </c>
      <c r="B94" s="190" t="s">
        <v>99</v>
      </c>
      <c r="C94" s="191">
        <v>30224</v>
      </c>
      <c r="D94" s="191">
        <v>12772</v>
      </c>
      <c r="E94" s="191">
        <v>16368</v>
      </c>
      <c r="F94" s="191">
        <v>27906</v>
      </c>
      <c r="G94" s="191">
        <v>33566</v>
      </c>
      <c r="H94" s="191">
        <v>30089</v>
      </c>
      <c r="I94" s="191">
        <v>30439</v>
      </c>
      <c r="J94" s="211">
        <f>IFERROR(I94/H94-1,"-")</f>
        <v>1.1632157931469989E-2</v>
      </c>
      <c r="K94" s="190">
        <f t="shared" ref="K94:K104" si="35">I94-H94</f>
        <v>350</v>
      </c>
      <c r="L94" s="192">
        <f t="shared" si="34"/>
        <v>5.6863122381156095E-3</v>
      </c>
    </row>
    <row r="95" spans="1:12" x14ac:dyDescent="0.25">
      <c r="A95" s="193" t="s">
        <v>105</v>
      </c>
      <c r="B95" s="194" t="s">
        <v>105</v>
      </c>
      <c r="C95" s="195">
        <v>14872</v>
      </c>
      <c r="D95" s="195">
        <v>6657</v>
      </c>
      <c r="E95" s="195">
        <v>8277</v>
      </c>
      <c r="F95" s="195">
        <v>12883</v>
      </c>
      <c r="G95" s="195">
        <v>10385</v>
      </c>
      <c r="H95" s="195">
        <v>9276</v>
      </c>
      <c r="I95" s="195">
        <v>11235</v>
      </c>
      <c r="J95" s="212">
        <f>IFERROR(I95/H95-1,"-")</f>
        <v>0.21119016817593783</v>
      </c>
      <c r="K95" s="194">
        <f t="shared" si="35"/>
        <v>1959</v>
      </c>
      <c r="L95" s="196">
        <f t="shared" si="34"/>
        <v>2.098811327416435E-3</v>
      </c>
    </row>
    <row r="96" spans="1:12" x14ac:dyDescent="0.25">
      <c r="A96" s="193" t="s">
        <v>102</v>
      </c>
      <c r="B96" s="194" t="s">
        <v>102</v>
      </c>
      <c r="C96" s="195">
        <v>15352</v>
      </c>
      <c r="D96" s="195">
        <v>6115</v>
      </c>
      <c r="E96" s="195">
        <v>8091</v>
      </c>
      <c r="F96" s="195">
        <v>15023</v>
      </c>
      <c r="G96" s="195">
        <v>23181</v>
      </c>
      <c r="H96" s="195">
        <v>20813</v>
      </c>
      <c r="I96" s="195">
        <v>19204</v>
      </c>
      <c r="J96" s="212">
        <f>IFERROR(I96/H96-1,"-")</f>
        <v>-7.7307452073223426E-2</v>
      </c>
      <c r="K96" s="194">
        <f t="shared" si="35"/>
        <v>-1609</v>
      </c>
      <c r="L96" s="196">
        <f t="shared" si="34"/>
        <v>3.587500910699174E-3</v>
      </c>
    </row>
    <row r="97" spans="1:12" x14ac:dyDescent="0.25">
      <c r="A97" s="1"/>
      <c r="B97" s="190" t="s">
        <v>109</v>
      </c>
      <c r="C97" s="191">
        <v>15932</v>
      </c>
      <c r="D97" s="191">
        <v>7278</v>
      </c>
      <c r="E97" s="191">
        <v>9001</v>
      </c>
      <c r="F97" s="191">
        <v>15465</v>
      </c>
      <c r="G97" s="191">
        <v>17330</v>
      </c>
      <c r="H97" s="191">
        <v>18932</v>
      </c>
      <c r="I97" s="191">
        <v>18365</v>
      </c>
      <c r="J97" s="211">
        <f>IFERROR(I97/H97-1,"-")</f>
        <v>-2.994929220367637E-2</v>
      </c>
      <c r="K97" s="190">
        <f t="shared" si="35"/>
        <v>-567</v>
      </c>
      <c r="L97" s="192">
        <f t="shared" si="34"/>
        <v>3.4307672477083074E-3</v>
      </c>
    </row>
    <row r="98" spans="1:12" s="74" customFormat="1" x14ac:dyDescent="0.25">
      <c r="B98" s="194" t="s">
        <v>112</v>
      </c>
      <c r="C98" s="195">
        <v>2048</v>
      </c>
      <c r="D98" s="195">
        <v>1197</v>
      </c>
      <c r="E98" s="195">
        <v>545</v>
      </c>
      <c r="F98" s="195">
        <v>2042</v>
      </c>
      <c r="G98" s="195">
        <v>2458</v>
      </c>
      <c r="H98" s="195">
        <v>2680</v>
      </c>
      <c r="I98" s="195">
        <v>2221</v>
      </c>
      <c r="J98" s="212">
        <f t="shared" ref="J98:J105" si="36">IFERROR(I98/H98-1,"-")</f>
        <v>-0.17126865671641789</v>
      </c>
      <c r="K98" s="194">
        <f t="shared" si="35"/>
        <v>-459</v>
      </c>
      <c r="L98" s="196">
        <f t="shared" si="34"/>
        <v>4.1490520322135313E-4</v>
      </c>
    </row>
    <row r="99" spans="1:12" s="74" customFormat="1" x14ac:dyDescent="0.25">
      <c r="B99" s="194" t="s">
        <v>115</v>
      </c>
      <c r="C99" s="195">
        <v>3474</v>
      </c>
      <c r="D99" s="195">
        <v>1480</v>
      </c>
      <c r="E99" s="195">
        <v>1857</v>
      </c>
      <c r="F99" s="195">
        <v>3193</v>
      </c>
      <c r="G99" s="195">
        <v>3384</v>
      </c>
      <c r="H99" s="195">
        <v>3853</v>
      </c>
      <c r="I99" s="195">
        <v>3531</v>
      </c>
      <c r="J99" s="212">
        <f t="shared" si="36"/>
        <v>-8.3571243187126942E-2</v>
      </c>
      <c r="K99" s="194">
        <f t="shared" si="35"/>
        <v>-322</v>
      </c>
      <c r="L99" s="196">
        <f t="shared" si="34"/>
        <v>6.5962641718802248E-4</v>
      </c>
    </row>
    <row r="100" spans="1:12" x14ac:dyDescent="0.25">
      <c r="A100" s="1"/>
      <c r="B100" s="194" t="s">
        <v>118</v>
      </c>
      <c r="C100" s="195">
        <v>3285</v>
      </c>
      <c r="D100" s="195">
        <v>1719</v>
      </c>
      <c r="E100" s="195">
        <v>2981</v>
      </c>
      <c r="F100" s="195">
        <v>2901</v>
      </c>
      <c r="G100" s="195">
        <v>3219</v>
      </c>
      <c r="H100" s="195">
        <v>3187</v>
      </c>
      <c r="I100" s="195">
        <v>3147</v>
      </c>
      <c r="J100" s="212">
        <f t="shared" si="36"/>
        <v>-1.2550988390335749E-2</v>
      </c>
      <c r="K100" s="194">
        <f t="shared" si="35"/>
        <v>-40</v>
      </c>
      <c r="L100" s="196">
        <f t="shared" si="34"/>
        <v>5.8789134378099878E-4</v>
      </c>
    </row>
    <row r="101" spans="1:12" x14ac:dyDescent="0.25">
      <c r="A101" s="1"/>
      <c r="B101" s="194" t="s">
        <v>125</v>
      </c>
      <c r="C101" s="195">
        <v>564</v>
      </c>
      <c r="D101" s="195">
        <v>301</v>
      </c>
      <c r="E101" s="195">
        <v>227</v>
      </c>
      <c r="F101" s="195">
        <v>1054</v>
      </c>
      <c r="G101" s="195">
        <v>796</v>
      </c>
      <c r="H101" s="195">
        <v>865</v>
      </c>
      <c r="I101" s="195">
        <v>756</v>
      </c>
      <c r="J101" s="212">
        <f t="shared" si="36"/>
        <v>-0.12601156069364161</v>
      </c>
      <c r="K101" s="194">
        <f t="shared" si="35"/>
        <v>-109</v>
      </c>
      <c r="L101" s="196">
        <f t="shared" si="34"/>
        <v>1.4122842577007788E-4</v>
      </c>
    </row>
    <row r="102" spans="1:12" x14ac:dyDescent="0.25">
      <c r="A102" s="1"/>
      <c r="B102" s="194" t="s">
        <v>121</v>
      </c>
      <c r="C102" s="195">
        <v>419</v>
      </c>
      <c r="D102" s="195">
        <v>267</v>
      </c>
      <c r="E102" s="195">
        <v>351</v>
      </c>
      <c r="F102" s="195">
        <v>600</v>
      </c>
      <c r="G102" s="195">
        <v>496</v>
      </c>
      <c r="H102" s="195">
        <v>744</v>
      </c>
      <c r="I102" s="195">
        <v>728</v>
      </c>
      <c r="J102" s="212">
        <f t="shared" si="36"/>
        <v>-2.1505376344086002E-2</v>
      </c>
      <c r="K102" s="194">
        <f t="shared" si="35"/>
        <v>-16</v>
      </c>
      <c r="L102" s="196">
        <f t="shared" si="34"/>
        <v>1.3599774333414907E-4</v>
      </c>
    </row>
    <row r="103" spans="1:12" x14ac:dyDescent="0.25">
      <c r="A103" s="1"/>
      <c r="B103" s="194" t="s">
        <v>130</v>
      </c>
      <c r="C103" s="195">
        <v>138</v>
      </c>
      <c r="D103" s="195">
        <v>127</v>
      </c>
      <c r="E103" s="195">
        <v>51</v>
      </c>
      <c r="F103" s="195">
        <v>240</v>
      </c>
      <c r="G103" s="195">
        <v>115</v>
      </c>
      <c r="H103" s="195">
        <v>202</v>
      </c>
      <c r="I103" s="195">
        <v>165</v>
      </c>
      <c r="J103" s="212">
        <f t="shared" si="36"/>
        <v>-0.18316831683168322</v>
      </c>
      <c r="K103" s="194">
        <f t="shared" si="35"/>
        <v>-37</v>
      </c>
      <c r="L103" s="196">
        <f t="shared" si="34"/>
        <v>3.082366435458049E-5</v>
      </c>
    </row>
    <row r="104" spans="1:12" x14ac:dyDescent="0.25">
      <c r="A104" s="193" t="s">
        <v>146</v>
      </c>
      <c r="B104" s="194" t="s">
        <v>133</v>
      </c>
      <c r="C104" s="195">
        <v>175</v>
      </c>
      <c r="D104" s="195">
        <v>79</v>
      </c>
      <c r="E104" s="195">
        <v>71</v>
      </c>
      <c r="F104" s="195">
        <v>127</v>
      </c>
      <c r="G104" s="195">
        <v>219</v>
      </c>
      <c r="H104" s="195">
        <v>350</v>
      </c>
      <c r="I104" s="195">
        <v>186</v>
      </c>
      <c r="J104" s="212">
        <f t="shared" si="36"/>
        <v>-0.46857142857142853</v>
      </c>
      <c r="K104" s="194">
        <f t="shared" si="35"/>
        <v>-164</v>
      </c>
      <c r="L104" s="196">
        <f t="shared" si="34"/>
        <v>3.4746676181527101E-5</v>
      </c>
    </row>
    <row r="105" spans="1:12" x14ac:dyDescent="0.25">
      <c r="A105" s="198" t="s">
        <v>147</v>
      </c>
      <c r="B105" s="199" t="s">
        <v>147</v>
      </c>
      <c r="C105" s="200">
        <f t="shared" ref="C105" si="37">C97-SUM(C98:C104)</f>
        <v>5829</v>
      </c>
      <c r="D105" s="200">
        <f t="shared" ref="D105:I105" si="38">D97-SUM(D98:D104)</f>
        <v>2108</v>
      </c>
      <c r="E105" s="200">
        <f t="shared" si="38"/>
        <v>2918</v>
      </c>
      <c r="F105" s="200">
        <f t="shared" si="38"/>
        <v>5308</v>
      </c>
      <c r="G105" s="200">
        <f t="shared" si="38"/>
        <v>6643</v>
      </c>
      <c r="H105" s="200">
        <f t="shared" si="38"/>
        <v>7051</v>
      </c>
      <c r="I105" s="200">
        <f t="shared" si="38"/>
        <v>7631</v>
      </c>
      <c r="J105" s="213">
        <f t="shared" si="36"/>
        <v>8.2257835767976184E-2</v>
      </c>
      <c r="K105" s="199">
        <f>I105-H105</f>
        <v>580</v>
      </c>
      <c r="L105" s="201">
        <f t="shared" si="34"/>
        <v>1.4255477738775984E-3</v>
      </c>
    </row>
    <row r="106" spans="1:12" x14ac:dyDescent="0.25">
      <c r="A106" s="1"/>
      <c r="B106" s="186" t="s">
        <v>52</v>
      </c>
      <c r="C106" s="184"/>
      <c r="D106" s="184"/>
      <c r="E106" s="184"/>
      <c r="F106" s="184"/>
      <c r="G106" s="184"/>
      <c r="H106" s="184"/>
      <c r="I106" s="184"/>
      <c r="J106" s="185"/>
      <c r="K106" s="185"/>
      <c r="L106" s="184"/>
    </row>
    <row r="107" spans="1:12" x14ac:dyDescent="0.25">
      <c r="A107" s="1"/>
      <c r="B107" s="187" t="s">
        <v>70</v>
      </c>
      <c r="C107" s="209">
        <v>143190</v>
      </c>
      <c r="D107" s="209">
        <v>74750</v>
      </c>
      <c r="E107" s="209">
        <v>96624</v>
      </c>
      <c r="F107" s="209">
        <v>194202</v>
      </c>
      <c r="G107" s="209">
        <v>243100</v>
      </c>
      <c r="H107" s="209">
        <v>236128</v>
      </c>
      <c r="I107" s="209">
        <v>244053</v>
      </c>
      <c r="J107" s="210">
        <f>IFERROR(I107/H107-1,"-")</f>
        <v>3.3562305190405262E-2</v>
      </c>
      <c r="K107" s="209">
        <f>I107-H107</f>
        <v>7925</v>
      </c>
      <c r="L107" s="210">
        <f t="shared" ref="L107:L119" si="39">I107/I$9</f>
        <v>4.55915621619905E-2</v>
      </c>
    </row>
    <row r="108" spans="1:12" x14ac:dyDescent="0.25">
      <c r="A108" s="1" t="s">
        <v>98</v>
      </c>
      <c r="B108" s="190" t="s">
        <v>99</v>
      </c>
      <c r="C108" s="191">
        <v>29454</v>
      </c>
      <c r="D108" s="191">
        <v>29625</v>
      </c>
      <c r="E108" s="191">
        <v>43518</v>
      </c>
      <c r="F108" s="191">
        <v>46169</v>
      </c>
      <c r="G108" s="191">
        <v>53721</v>
      </c>
      <c r="H108" s="191">
        <v>49042</v>
      </c>
      <c r="I108" s="191">
        <v>51726</v>
      </c>
      <c r="J108" s="211">
        <f>IFERROR(I108/H108-1,"-")</f>
        <v>5.4728599975531145E-2</v>
      </c>
      <c r="K108" s="190">
        <f t="shared" ref="K108:K118" si="40">I108-H108</f>
        <v>2684</v>
      </c>
      <c r="L108" s="192">
        <f t="shared" si="39"/>
        <v>9.6629385600304867E-3</v>
      </c>
    </row>
    <row r="109" spans="1:12" x14ac:dyDescent="0.25">
      <c r="A109" s="193" t="s">
        <v>105</v>
      </c>
      <c r="B109" s="194" t="s">
        <v>105</v>
      </c>
      <c r="C109" s="195">
        <v>11302</v>
      </c>
      <c r="D109" s="195">
        <v>3001</v>
      </c>
      <c r="E109" s="195">
        <v>24523</v>
      </c>
      <c r="F109" s="195">
        <v>16191</v>
      </c>
      <c r="G109" s="195">
        <v>19192</v>
      </c>
      <c r="H109" s="195">
        <v>15997</v>
      </c>
      <c r="I109" s="195">
        <v>19328</v>
      </c>
      <c r="J109" s="212">
        <f>IFERROR(I109/H109-1,"-")</f>
        <v>0.20822654247671446</v>
      </c>
      <c r="K109" s="194">
        <f t="shared" si="40"/>
        <v>3331</v>
      </c>
      <c r="L109" s="196">
        <f t="shared" si="39"/>
        <v>3.610665361486859E-3</v>
      </c>
    </row>
    <row r="110" spans="1:12" x14ac:dyDescent="0.25">
      <c r="A110" s="193" t="s">
        <v>102</v>
      </c>
      <c r="B110" s="194" t="s">
        <v>102</v>
      </c>
      <c r="C110" s="195">
        <v>18152</v>
      </c>
      <c r="D110" s="195">
        <v>26624</v>
      </c>
      <c r="E110" s="195">
        <v>18995</v>
      </c>
      <c r="F110" s="195">
        <v>29978</v>
      </c>
      <c r="G110" s="195">
        <v>34529</v>
      </c>
      <c r="H110" s="195">
        <v>33045</v>
      </c>
      <c r="I110" s="195">
        <v>32398</v>
      </c>
      <c r="J110" s="212">
        <f>IFERROR(I110/H110-1,"-")</f>
        <v>-1.9579361476774082E-2</v>
      </c>
      <c r="K110" s="194">
        <f t="shared" si="40"/>
        <v>-647</v>
      </c>
      <c r="L110" s="196">
        <f t="shared" si="39"/>
        <v>6.052273198543629E-3</v>
      </c>
    </row>
    <row r="111" spans="1:12" x14ac:dyDescent="0.25">
      <c r="A111" s="1"/>
      <c r="B111" s="190" t="s">
        <v>109</v>
      </c>
      <c r="C111" s="191">
        <v>113736</v>
      </c>
      <c r="D111" s="191">
        <v>45125</v>
      </c>
      <c r="E111" s="191">
        <v>53106</v>
      </c>
      <c r="F111" s="191">
        <v>148033</v>
      </c>
      <c r="G111" s="191">
        <v>189379</v>
      </c>
      <c r="H111" s="191">
        <v>187086</v>
      </c>
      <c r="I111" s="191">
        <v>192327</v>
      </c>
      <c r="J111" s="211">
        <f>IFERROR(I111/H111-1,"-")</f>
        <v>2.8013854590936749E-2</v>
      </c>
      <c r="K111" s="190">
        <f t="shared" si="40"/>
        <v>5241</v>
      </c>
      <c r="L111" s="192">
        <f t="shared" si="39"/>
        <v>3.5928623601960009E-2</v>
      </c>
    </row>
    <row r="112" spans="1:12" s="74" customFormat="1" x14ac:dyDescent="0.25">
      <c r="B112" s="194" t="s">
        <v>112</v>
      </c>
      <c r="C112" s="195">
        <v>62508</v>
      </c>
      <c r="D112" s="195">
        <v>23181</v>
      </c>
      <c r="E112" s="195">
        <v>20866</v>
      </c>
      <c r="F112" s="195">
        <v>90425</v>
      </c>
      <c r="G112" s="195">
        <v>124677</v>
      </c>
      <c r="H112" s="195">
        <v>116530</v>
      </c>
      <c r="I112" s="195">
        <v>116998</v>
      </c>
      <c r="J112" s="212">
        <f t="shared" ref="J112:J119" si="41">IFERROR(I112/H112-1,"-")</f>
        <v>4.0161331845876003E-3</v>
      </c>
      <c r="K112" s="194">
        <f t="shared" si="40"/>
        <v>468</v>
      </c>
      <c r="L112" s="196">
        <f t="shared" si="39"/>
        <v>2.1856406558528534E-2</v>
      </c>
    </row>
    <row r="113" spans="1:12" s="74" customFormat="1" x14ac:dyDescent="0.25">
      <c r="B113" s="194" t="s">
        <v>115</v>
      </c>
      <c r="C113" s="195">
        <v>9745</v>
      </c>
      <c r="D113" s="195">
        <v>3025</v>
      </c>
      <c r="E113" s="195">
        <v>6813</v>
      </c>
      <c r="F113" s="195">
        <v>6017</v>
      </c>
      <c r="G113" s="195">
        <v>8025</v>
      </c>
      <c r="H113" s="195">
        <v>7870</v>
      </c>
      <c r="I113" s="195">
        <v>9144</v>
      </c>
      <c r="J113" s="212">
        <f t="shared" si="41"/>
        <v>0.16188055908513332</v>
      </c>
      <c r="K113" s="194">
        <f t="shared" si="40"/>
        <v>1274</v>
      </c>
      <c r="L113" s="196">
        <f t="shared" si="39"/>
        <v>1.7081914355047516E-3</v>
      </c>
    </row>
    <row r="114" spans="1:12" x14ac:dyDescent="0.25">
      <c r="A114" s="1"/>
      <c r="B114" s="194" t="s">
        <v>118</v>
      </c>
      <c r="C114" s="195">
        <v>13157</v>
      </c>
      <c r="D114" s="195">
        <v>2561</v>
      </c>
      <c r="E114" s="195">
        <v>6955</v>
      </c>
      <c r="F114" s="195">
        <v>9420</v>
      </c>
      <c r="G114" s="195">
        <v>13195</v>
      </c>
      <c r="H114" s="195">
        <v>13720</v>
      </c>
      <c r="I114" s="195">
        <v>15420</v>
      </c>
      <c r="J114" s="212">
        <f t="shared" si="41"/>
        <v>0.12390670553935856</v>
      </c>
      <c r="K114" s="194">
        <f t="shared" si="40"/>
        <v>1700</v>
      </c>
      <c r="L114" s="196">
        <f t="shared" si="39"/>
        <v>2.8806115415007947E-3</v>
      </c>
    </row>
    <row r="115" spans="1:12" x14ac:dyDescent="0.25">
      <c r="A115" s="1"/>
      <c r="B115" s="194" t="s">
        <v>125</v>
      </c>
      <c r="C115" s="195">
        <v>2661</v>
      </c>
      <c r="D115" s="195">
        <v>1229</v>
      </c>
      <c r="E115" s="195">
        <v>3191</v>
      </c>
      <c r="F115" s="195">
        <v>5965</v>
      </c>
      <c r="G115" s="195">
        <v>6341</v>
      </c>
      <c r="H115" s="195">
        <v>6110</v>
      </c>
      <c r="I115" s="195">
        <v>6571</v>
      </c>
      <c r="J115" s="212">
        <f t="shared" si="41"/>
        <v>7.5450081833060567E-2</v>
      </c>
      <c r="K115" s="194">
        <f t="shared" si="40"/>
        <v>461</v>
      </c>
      <c r="L115" s="196">
        <f t="shared" si="39"/>
        <v>1.2275290816602933E-3</v>
      </c>
    </row>
    <row r="116" spans="1:12" x14ac:dyDescent="0.25">
      <c r="A116" s="1"/>
      <c r="B116" s="194" t="s">
        <v>121</v>
      </c>
      <c r="C116" s="195">
        <v>3843</v>
      </c>
      <c r="D116" s="195">
        <v>3033</v>
      </c>
      <c r="E116" s="195">
        <v>3995</v>
      </c>
      <c r="F116" s="195">
        <v>5325</v>
      </c>
      <c r="G116" s="195">
        <v>5187</v>
      </c>
      <c r="H116" s="195">
        <v>4991</v>
      </c>
      <c r="I116" s="195">
        <v>4951</v>
      </c>
      <c r="J116" s="212">
        <f t="shared" si="41"/>
        <v>-8.0144259667401796E-3</v>
      </c>
      <c r="K116" s="194">
        <f t="shared" si="40"/>
        <v>-40</v>
      </c>
      <c r="L116" s="196">
        <f t="shared" si="39"/>
        <v>9.2489674072441218E-4</v>
      </c>
    </row>
    <row r="117" spans="1:12" x14ac:dyDescent="0.25">
      <c r="A117" s="1"/>
      <c r="B117" s="194" t="s">
        <v>130</v>
      </c>
      <c r="C117" s="195">
        <v>688</v>
      </c>
      <c r="D117" s="195">
        <v>459</v>
      </c>
      <c r="E117" s="195">
        <v>147</v>
      </c>
      <c r="F117" s="195">
        <v>1046</v>
      </c>
      <c r="G117" s="195">
        <v>1149</v>
      </c>
      <c r="H117" s="195">
        <v>1291</v>
      </c>
      <c r="I117" s="195">
        <v>1132</v>
      </c>
      <c r="J117" s="212">
        <f t="shared" si="41"/>
        <v>-0.12316034082106897</v>
      </c>
      <c r="K117" s="194">
        <f t="shared" si="40"/>
        <v>-159</v>
      </c>
      <c r="L117" s="196">
        <f t="shared" si="39"/>
        <v>2.114690184811219E-4</v>
      </c>
    </row>
    <row r="118" spans="1:12" x14ac:dyDescent="0.25">
      <c r="A118" s="193" t="s">
        <v>146</v>
      </c>
      <c r="B118" s="194" t="s">
        <v>133</v>
      </c>
      <c r="C118" s="195">
        <v>1246</v>
      </c>
      <c r="D118" s="195">
        <v>1176</v>
      </c>
      <c r="E118" s="195">
        <v>104</v>
      </c>
      <c r="F118" s="195">
        <v>924</v>
      </c>
      <c r="G118" s="195">
        <v>679</v>
      </c>
      <c r="H118" s="195">
        <v>1495</v>
      </c>
      <c r="I118" s="195">
        <v>955</v>
      </c>
      <c r="J118" s="212">
        <f t="shared" si="41"/>
        <v>-0.3612040133779264</v>
      </c>
      <c r="K118" s="194">
        <f t="shared" si="40"/>
        <v>-540</v>
      </c>
      <c r="L118" s="196">
        <f t="shared" si="39"/>
        <v>1.7840363308257193E-4</v>
      </c>
    </row>
    <row r="119" spans="1:12" x14ac:dyDescent="0.25">
      <c r="A119" s="198" t="s">
        <v>147</v>
      </c>
      <c r="B119" s="199" t="s">
        <v>147</v>
      </c>
      <c r="C119" s="200">
        <f t="shared" ref="C119" si="42">C111-SUM(C112:C118)</f>
        <v>19888</v>
      </c>
      <c r="D119" s="200">
        <f t="shared" ref="D119:I119" si="43">D111-SUM(D112:D118)</f>
        <v>10461</v>
      </c>
      <c r="E119" s="200">
        <f t="shared" si="43"/>
        <v>11035</v>
      </c>
      <c r="F119" s="200">
        <f t="shared" si="43"/>
        <v>28911</v>
      </c>
      <c r="G119" s="200">
        <f t="shared" si="43"/>
        <v>30126</v>
      </c>
      <c r="H119" s="200">
        <f t="shared" si="43"/>
        <v>35079</v>
      </c>
      <c r="I119" s="200">
        <f t="shared" si="43"/>
        <v>37156</v>
      </c>
      <c r="J119" s="213">
        <f t="shared" si="41"/>
        <v>5.9209213489552104E-2</v>
      </c>
      <c r="K119" s="199">
        <f>I119-H119</f>
        <v>2077</v>
      </c>
      <c r="L119" s="201">
        <f t="shared" si="39"/>
        <v>6.9411155924775318E-3</v>
      </c>
    </row>
    <row r="120" spans="1:12" x14ac:dyDescent="0.25">
      <c r="A120" s="1"/>
      <c r="B120" s="186" t="s">
        <v>53</v>
      </c>
      <c r="C120" s="184"/>
      <c r="D120" s="184"/>
      <c r="E120" s="184"/>
      <c r="F120" s="184"/>
      <c r="G120" s="184"/>
      <c r="H120" s="184"/>
      <c r="I120" s="184"/>
      <c r="J120" s="185"/>
      <c r="K120" s="185"/>
      <c r="L120" s="184"/>
    </row>
    <row r="121" spans="1:12" x14ac:dyDescent="0.25">
      <c r="A121" s="1"/>
      <c r="B121" s="187" t="s">
        <v>70</v>
      </c>
      <c r="C121" s="209">
        <v>185319</v>
      </c>
      <c r="D121" s="209">
        <v>80046</v>
      </c>
      <c r="E121" s="209">
        <v>127034</v>
      </c>
      <c r="F121" s="209">
        <v>187790</v>
      </c>
      <c r="G121" s="209">
        <v>203344</v>
      </c>
      <c r="H121" s="209">
        <v>209772</v>
      </c>
      <c r="I121" s="209">
        <v>237218</v>
      </c>
      <c r="J121" s="210">
        <f>IFERROR(I121/H121-1,"-")</f>
        <v>0.13083729001010624</v>
      </c>
      <c r="K121" s="209">
        <f>I121-H121</f>
        <v>27446</v>
      </c>
      <c r="L121" s="210">
        <f t="shared" ref="L121:L133" si="44">I121/I$9</f>
        <v>4.4314715217362875E-2</v>
      </c>
    </row>
    <row r="122" spans="1:12" x14ac:dyDescent="0.25">
      <c r="A122" s="1" t="s">
        <v>98</v>
      </c>
      <c r="B122" s="190" t="s">
        <v>99</v>
      </c>
      <c r="C122" s="191">
        <v>101153</v>
      </c>
      <c r="D122" s="191">
        <v>44623</v>
      </c>
      <c r="E122" s="191">
        <v>83554</v>
      </c>
      <c r="F122" s="191">
        <v>113642</v>
      </c>
      <c r="G122" s="191">
        <v>126216</v>
      </c>
      <c r="H122" s="191">
        <v>132125</v>
      </c>
      <c r="I122" s="191">
        <v>153721</v>
      </c>
      <c r="J122" s="211">
        <f>IFERROR(I122/H122-1,"-")</f>
        <v>0.16345127719962149</v>
      </c>
      <c r="K122" s="190">
        <f t="shared" ref="K122:K132" si="45">I122-H122</f>
        <v>21596</v>
      </c>
      <c r="L122" s="192">
        <f t="shared" si="44"/>
        <v>2.8716633383336167E-2</v>
      </c>
    </row>
    <row r="123" spans="1:12" x14ac:dyDescent="0.25">
      <c r="A123" s="193" t="s">
        <v>105</v>
      </c>
      <c r="B123" s="194" t="s">
        <v>105</v>
      </c>
      <c r="C123" s="195">
        <v>50967</v>
      </c>
      <c r="D123" s="195">
        <v>20055</v>
      </c>
      <c r="E123" s="195">
        <v>42370</v>
      </c>
      <c r="F123" s="195">
        <v>58791</v>
      </c>
      <c r="G123" s="195">
        <v>57284</v>
      </c>
      <c r="H123" s="195">
        <v>63881</v>
      </c>
      <c r="I123" s="195">
        <v>80468</v>
      </c>
      <c r="J123" s="212">
        <f>IFERROR(I123/H123-1,"-")</f>
        <v>0.25965467040278023</v>
      </c>
      <c r="K123" s="194">
        <f t="shared" si="45"/>
        <v>16587</v>
      </c>
      <c r="L123" s="196">
        <f t="shared" si="44"/>
        <v>1.5032234080511412E-2</v>
      </c>
    </row>
    <row r="124" spans="1:12" x14ac:dyDescent="0.25">
      <c r="A124" s="193" t="s">
        <v>102</v>
      </c>
      <c r="B124" s="194" t="s">
        <v>102</v>
      </c>
      <c r="C124" s="195">
        <v>50186</v>
      </c>
      <c r="D124" s="195">
        <v>24568</v>
      </c>
      <c r="E124" s="195">
        <v>41184</v>
      </c>
      <c r="F124" s="195">
        <v>54851</v>
      </c>
      <c r="G124" s="195">
        <v>68932</v>
      </c>
      <c r="H124" s="195">
        <v>68244</v>
      </c>
      <c r="I124" s="195">
        <v>73253</v>
      </c>
      <c r="J124" s="212">
        <f>IFERROR(I124/H124-1,"-")</f>
        <v>7.3398393998007183E-2</v>
      </c>
      <c r="K124" s="194">
        <f t="shared" si="45"/>
        <v>5009</v>
      </c>
      <c r="L124" s="196">
        <f t="shared" si="44"/>
        <v>1.3684399302824755E-2</v>
      </c>
    </row>
    <row r="125" spans="1:12" x14ac:dyDescent="0.25">
      <c r="A125" s="1"/>
      <c r="B125" s="190" t="s">
        <v>109</v>
      </c>
      <c r="C125" s="191">
        <v>84166</v>
      </c>
      <c r="D125" s="191">
        <v>35423</v>
      </c>
      <c r="E125" s="191">
        <v>43480</v>
      </c>
      <c r="F125" s="191">
        <v>74148</v>
      </c>
      <c r="G125" s="191">
        <v>77128</v>
      </c>
      <c r="H125" s="191">
        <v>77647</v>
      </c>
      <c r="I125" s="191">
        <v>83497</v>
      </c>
      <c r="J125" s="211">
        <f>IFERROR(I125/H125-1,"-")</f>
        <v>7.5340966167398715E-2</v>
      </c>
      <c r="K125" s="190">
        <f t="shared" si="45"/>
        <v>5850</v>
      </c>
      <c r="L125" s="192">
        <f t="shared" si="44"/>
        <v>1.559808183402671E-2</v>
      </c>
    </row>
    <row r="126" spans="1:12" s="74" customFormat="1" x14ac:dyDescent="0.25">
      <c r="B126" s="194" t="s">
        <v>112</v>
      </c>
      <c r="C126" s="195">
        <v>8922</v>
      </c>
      <c r="D126" s="195">
        <v>3445</v>
      </c>
      <c r="E126" s="195">
        <v>2029</v>
      </c>
      <c r="F126" s="195">
        <v>8307</v>
      </c>
      <c r="G126" s="195">
        <v>10172</v>
      </c>
      <c r="H126" s="195">
        <v>9158</v>
      </c>
      <c r="I126" s="195">
        <v>8741</v>
      </c>
      <c r="J126" s="212">
        <f t="shared" ref="J126:J133" si="46">IFERROR(I126/H126-1,"-")</f>
        <v>-4.5533959379777222E-2</v>
      </c>
      <c r="K126" s="194">
        <f t="shared" si="45"/>
        <v>-417</v>
      </c>
      <c r="L126" s="196">
        <f t="shared" si="44"/>
        <v>1.6329069704447761E-3</v>
      </c>
    </row>
    <row r="127" spans="1:12" s="74" customFormat="1" x14ac:dyDescent="0.25">
      <c r="B127" s="194" t="s">
        <v>115</v>
      </c>
      <c r="C127" s="195">
        <v>8007</v>
      </c>
      <c r="D127" s="195">
        <v>3648</v>
      </c>
      <c r="E127" s="195">
        <v>4641</v>
      </c>
      <c r="F127" s="195">
        <v>8165</v>
      </c>
      <c r="G127" s="195">
        <v>10909</v>
      </c>
      <c r="H127" s="195">
        <v>10490</v>
      </c>
      <c r="I127" s="195">
        <v>11505</v>
      </c>
      <c r="J127" s="212">
        <f t="shared" si="46"/>
        <v>9.6758817921830387E-2</v>
      </c>
      <c r="K127" s="194">
        <f t="shared" si="45"/>
        <v>1015</v>
      </c>
      <c r="L127" s="196">
        <f t="shared" si="44"/>
        <v>2.1492500509057489E-3</v>
      </c>
    </row>
    <row r="128" spans="1:12" x14ac:dyDescent="0.25">
      <c r="A128" s="1"/>
      <c r="B128" s="194" t="s">
        <v>118</v>
      </c>
      <c r="C128" s="195">
        <v>5944</v>
      </c>
      <c r="D128" s="195">
        <v>2556</v>
      </c>
      <c r="E128" s="195">
        <v>5763</v>
      </c>
      <c r="F128" s="195">
        <v>6960</v>
      </c>
      <c r="G128" s="195">
        <v>7511</v>
      </c>
      <c r="H128" s="195">
        <v>7375</v>
      </c>
      <c r="I128" s="195">
        <v>8010</v>
      </c>
      <c r="J128" s="212">
        <f t="shared" si="46"/>
        <v>8.6101694915254212E-2</v>
      </c>
      <c r="K128" s="194">
        <f t="shared" si="45"/>
        <v>635</v>
      </c>
      <c r="L128" s="196">
        <f t="shared" si="44"/>
        <v>1.4963487968496347E-3</v>
      </c>
    </row>
    <row r="129" spans="1:12" x14ac:dyDescent="0.25">
      <c r="A129" s="1"/>
      <c r="B129" s="194" t="s">
        <v>125</v>
      </c>
      <c r="C129" s="195">
        <v>1408</v>
      </c>
      <c r="D129" s="195">
        <v>658</v>
      </c>
      <c r="E129" s="195">
        <v>862</v>
      </c>
      <c r="F129" s="195">
        <v>2080</v>
      </c>
      <c r="G129" s="195">
        <v>2175</v>
      </c>
      <c r="H129" s="195">
        <v>1944</v>
      </c>
      <c r="I129" s="195">
        <v>2328</v>
      </c>
      <c r="J129" s="212">
        <f t="shared" si="46"/>
        <v>0.19753086419753085</v>
      </c>
      <c r="K129" s="194">
        <f t="shared" si="45"/>
        <v>384</v>
      </c>
      <c r="L129" s="196">
        <f t="shared" si="44"/>
        <v>4.3489388253008108E-4</v>
      </c>
    </row>
    <row r="130" spans="1:12" x14ac:dyDescent="0.25">
      <c r="A130" s="1"/>
      <c r="B130" s="194" t="s">
        <v>121</v>
      </c>
      <c r="C130" s="195">
        <v>1205</v>
      </c>
      <c r="D130" s="195">
        <v>658</v>
      </c>
      <c r="E130" s="195">
        <v>797</v>
      </c>
      <c r="F130" s="195">
        <v>1474</v>
      </c>
      <c r="G130" s="195">
        <v>1524</v>
      </c>
      <c r="H130" s="195">
        <v>1629</v>
      </c>
      <c r="I130" s="195">
        <v>2016</v>
      </c>
      <c r="J130" s="212">
        <f t="shared" si="46"/>
        <v>0.23756906077348061</v>
      </c>
      <c r="K130" s="194">
        <f t="shared" si="45"/>
        <v>387</v>
      </c>
      <c r="L130" s="196">
        <f t="shared" si="44"/>
        <v>3.7660913538687437E-4</v>
      </c>
    </row>
    <row r="131" spans="1:12" x14ac:dyDescent="0.25">
      <c r="A131" s="1"/>
      <c r="B131" s="194" t="s">
        <v>130</v>
      </c>
      <c r="C131" s="195">
        <v>1315</v>
      </c>
      <c r="D131" s="195">
        <v>695</v>
      </c>
      <c r="E131" s="195">
        <v>217</v>
      </c>
      <c r="F131" s="195">
        <v>848</v>
      </c>
      <c r="G131" s="195">
        <v>1030</v>
      </c>
      <c r="H131" s="195">
        <v>1142</v>
      </c>
      <c r="I131" s="195">
        <v>886</v>
      </c>
      <c r="J131" s="212">
        <f t="shared" si="46"/>
        <v>-0.22416812609457093</v>
      </c>
      <c r="K131" s="194">
        <f t="shared" si="45"/>
        <v>-256</v>
      </c>
      <c r="L131" s="196">
        <f t="shared" si="44"/>
        <v>1.6551373707974736E-4</v>
      </c>
    </row>
    <row r="132" spans="1:12" x14ac:dyDescent="0.25">
      <c r="A132" s="193" t="s">
        <v>146</v>
      </c>
      <c r="B132" s="194" t="s">
        <v>133</v>
      </c>
      <c r="C132" s="195">
        <v>2013</v>
      </c>
      <c r="D132" s="195">
        <v>1083</v>
      </c>
      <c r="E132" s="195">
        <v>374</v>
      </c>
      <c r="F132" s="195">
        <v>1320</v>
      </c>
      <c r="G132" s="195">
        <v>1881</v>
      </c>
      <c r="H132" s="195">
        <v>1771</v>
      </c>
      <c r="I132" s="195">
        <v>1574</v>
      </c>
      <c r="J132" s="212">
        <f t="shared" si="46"/>
        <v>-0.11123658949745907</v>
      </c>
      <c r="K132" s="194">
        <f t="shared" si="45"/>
        <v>-197</v>
      </c>
      <c r="L132" s="196">
        <f t="shared" si="44"/>
        <v>2.9403907693399813E-4</v>
      </c>
    </row>
    <row r="133" spans="1:12" x14ac:dyDescent="0.25">
      <c r="A133" s="198" t="s">
        <v>147</v>
      </c>
      <c r="B133" s="199" t="s">
        <v>147</v>
      </c>
      <c r="C133" s="200">
        <f t="shared" ref="C133" si="47">C125-SUM(C126:C132)</f>
        <v>55352</v>
      </c>
      <c r="D133" s="200">
        <f t="shared" ref="D133:I133" si="48">D125-SUM(D126:D132)</f>
        <v>22680</v>
      </c>
      <c r="E133" s="200">
        <f t="shared" si="48"/>
        <v>28797</v>
      </c>
      <c r="F133" s="200">
        <f t="shared" si="48"/>
        <v>44994</v>
      </c>
      <c r="G133" s="200">
        <f t="shared" si="48"/>
        <v>41926</v>
      </c>
      <c r="H133" s="200">
        <f t="shared" si="48"/>
        <v>44138</v>
      </c>
      <c r="I133" s="200">
        <f t="shared" si="48"/>
        <v>48437</v>
      </c>
      <c r="J133" s="213">
        <f t="shared" si="46"/>
        <v>9.7399066563958581E-2</v>
      </c>
      <c r="K133" s="199">
        <f>I133-H133</f>
        <v>4299</v>
      </c>
      <c r="L133" s="201">
        <f t="shared" si="44"/>
        <v>9.0485201838958491E-3</v>
      </c>
    </row>
    <row r="134" spans="1:12" x14ac:dyDescent="0.25">
      <c r="A134" s="1"/>
      <c r="B134" s="186" t="s">
        <v>54</v>
      </c>
      <c r="C134" s="184"/>
      <c r="D134" s="184"/>
      <c r="E134" s="184"/>
      <c r="F134" s="184"/>
      <c r="G134" s="184"/>
      <c r="H134" s="184"/>
      <c r="I134" s="184"/>
      <c r="J134" s="185"/>
      <c r="K134" s="185"/>
      <c r="L134" s="184"/>
    </row>
    <row r="135" spans="1:12" x14ac:dyDescent="0.25">
      <c r="A135" s="1"/>
      <c r="B135" s="187" t="s">
        <v>70</v>
      </c>
      <c r="C135" s="209">
        <v>250989</v>
      </c>
      <c r="D135" s="209">
        <v>94376</v>
      </c>
      <c r="E135" s="209">
        <v>111634</v>
      </c>
      <c r="F135" s="209">
        <v>252020</v>
      </c>
      <c r="G135" s="209">
        <v>274006</v>
      </c>
      <c r="H135" s="209">
        <v>287742</v>
      </c>
      <c r="I135" s="209">
        <v>285703</v>
      </c>
      <c r="J135" s="210">
        <f>IFERROR(I135/H135-1,"-")</f>
        <v>-7.0862091734956723E-3</v>
      </c>
      <c r="K135" s="209">
        <f>I135-H135</f>
        <v>-2039</v>
      </c>
      <c r="L135" s="210">
        <f t="shared" ref="L135:L147" si="49">I135/I$9</f>
        <v>5.3372202285434607E-2</v>
      </c>
    </row>
    <row r="136" spans="1:12" x14ac:dyDescent="0.25">
      <c r="A136" s="1" t="s">
        <v>98</v>
      </c>
      <c r="B136" s="190" t="s">
        <v>99</v>
      </c>
      <c r="C136" s="191">
        <v>45096</v>
      </c>
      <c r="D136" s="191">
        <v>19769</v>
      </c>
      <c r="E136" s="191">
        <v>44570</v>
      </c>
      <c r="F136" s="191">
        <v>28307</v>
      </c>
      <c r="G136" s="191">
        <v>31454</v>
      </c>
      <c r="H136" s="191">
        <v>28667</v>
      </c>
      <c r="I136" s="191">
        <v>31776</v>
      </c>
      <c r="J136" s="211">
        <f>IFERROR(I136/H136-1,"-")</f>
        <v>0.10845222729968262</v>
      </c>
      <c r="K136" s="190">
        <f t="shared" ref="K136:K146" si="50">I136-H136</f>
        <v>3109</v>
      </c>
      <c r="L136" s="192">
        <f t="shared" si="49"/>
        <v>5.9360773244312099E-3</v>
      </c>
    </row>
    <row r="137" spans="1:12" x14ac:dyDescent="0.25">
      <c r="A137" s="193" t="s">
        <v>105</v>
      </c>
      <c r="B137" s="194" t="s">
        <v>105</v>
      </c>
      <c r="C137" s="195">
        <v>24700</v>
      </c>
      <c r="D137" s="195">
        <v>14147</v>
      </c>
      <c r="E137" s="195">
        <v>33538</v>
      </c>
      <c r="F137" s="195">
        <v>19268</v>
      </c>
      <c r="G137" s="195">
        <v>20465</v>
      </c>
      <c r="H137" s="195">
        <v>18364</v>
      </c>
      <c r="I137" s="195">
        <v>18860</v>
      </c>
      <c r="J137" s="212">
        <f>IFERROR(I137/H137-1,"-")</f>
        <v>2.7009366151165226E-2</v>
      </c>
      <c r="K137" s="194">
        <f t="shared" si="50"/>
        <v>496</v>
      </c>
      <c r="L137" s="196">
        <f t="shared" si="49"/>
        <v>3.5232382407720487E-3</v>
      </c>
    </row>
    <row r="138" spans="1:12" x14ac:dyDescent="0.25">
      <c r="A138" s="193" t="s">
        <v>102</v>
      </c>
      <c r="B138" s="194" t="s">
        <v>102</v>
      </c>
      <c r="C138" s="195">
        <v>20396</v>
      </c>
      <c r="D138" s="195">
        <v>5622</v>
      </c>
      <c r="E138" s="195">
        <v>11032</v>
      </c>
      <c r="F138" s="195">
        <v>9039</v>
      </c>
      <c r="G138" s="195">
        <v>10989</v>
      </c>
      <c r="H138" s="195">
        <v>10303</v>
      </c>
      <c r="I138" s="195">
        <v>12916</v>
      </c>
      <c r="J138" s="212">
        <f>IFERROR(I138/H138-1,"-")</f>
        <v>0.25361545181015233</v>
      </c>
      <c r="K138" s="194">
        <f t="shared" si="50"/>
        <v>2613</v>
      </c>
      <c r="L138" s="196">
        <f t="shared" si="49"/>
        <v>2.4128390836591612E-3</v>
      </c>
    </row>
    <row r="139" spans="1:12" x14ac:dyDescent="0.25">
      <c r="A139" s="1"/>
      <c r="B139" s="190" t="s">
        <v>109</v>
      </c>
      <c r="C139" s="191">
        <v>205893</v>
      </c>
      <c r="D139" s="191">
        <v>74607</v>
      </c>
      <c r="E139" s="191">
        <v>67064</v>
      </c>
      <c r="F139" s="191">
        <v>223713</v>
      </c>
      <c r="G139" s="191">
        <v>242552</v>
      </c>
      <c r="H139" s="191">
        <v>259075</v>
      </c>
      <c r="I139" s="191">
        <v>253927</v>
      </c>
      <c r="J139" s="211">
        <f>IFERROR(I139/H139-1,"-")</f>
        <v>-1.9870693814532436E-2</v>
      </c>
      <c r="K139" s="190">
        <f t="shared" si="50"/>
        <v>-5148</v>
      </c>
      <c r="L139" s="192">
        <f t="shared" si="49"/>
        <v>4.7436124961003391E-2</v>
      </c>
    </row>
    <row r="140" spans="1:12" s="74" customFormat="1" x14ac:dyDescent="0.25">
      <c r="B140" s="194" t="s">
        <v>112</v>
      </c>
      <c r="C140" s="195">
        <v>102733</v>
      </c>
      <c r="D140" s="195">
        <v>30179</v>
      </c>
      <c r="E140" s="195">
        <v>15368</v>
      </c>
      <c r="F140" s="195">
        <v>98327</v>
      </c>
      <c r="G140" s="195">
        <v>105348</v>
      </c>
      <c r="H140" s="195">
        <v>117947</v>
      </c>
      <c r="I140" s="195">
        <v>120063</v>
      </c>
      <c r="J140" s="212">
        <f t="shared" ref="J140:J147" si="51">IFERROR(I140/H140-1,"-")</f>
        <v>1.7940261303805993E-2</v>
      </c>
      <c r="K140" s="194">
        <f t="shared" si="50"/>
        <v>2116</v>
      </c>
      <c r="L140" s="196">
        <f t="shared" si="49"/>
        <v>2.2428979475175741E-2</v>
      </c>
    </row>
    <row r="141" spans="1:12" s="74" customFormat="1" x14ac:dyDescent="0.25">
      <c r="B141" s="194" t="s">
        <v>115</v>
      </c>
      <c r="C141" s="195">
        <v>14456</v>
      </c>
      <c r="D141" s="195">
        <v>5578</v>
      </c>
      <c r="E141" s="195">
        <v>6621</v>
      </c>
      <c r="F141" s="195">
        <v>15310</v>
      </c>
      <c r="G141" s="195">
        <v>20966</v>
      </c>
      <c r="H141" s="195">
        <v>21577</v>
      </c>
      <c r="I141" s="195">
        <v>21479</v>
      </c>
      <c r="J141" s="212">
        <f t="shared" si="51"/>
        <v>-4.5418732910043058E-3</v>
      </c>
      <c r="K141" s="194">
        <f t="shared" si="50"/>
        <v>-98</v>
      </c>
      <c r="L141" s="196">
        <f t="shared" si="49"/>
        <v>4.0124938586183897E-3</v>
      </c>
    </row>
    <row r="142" spans="1:12" x14ac:dyDescent="0.25">
      <c r="A142" s="1"/>
      <c r="B142" s="194" t="s">
        <v>118</v>
      </c>
      <c r="C142" s="195">
        <v>20088</v>
      </c>
      <c r="D142" s="195">
        <v>6504</v>
      </c>
      <c r="E142" s="195">
        <v>12788</v>
      </c>
      <c r="F142" s="195">
        <v>26748</v>
      </c>
      <c r="G142" s="195">
        <v>25049</v>
      </c>
      <c r="H142" s="195">
        <v>25956</v>
      </c>
      <c r="I142" s="195">
        <v>23474</v>
      </c>
      <c r="J142" s="212">
        <f t="shared" si="51"/>
        <v>-9.5623362613653895E-2</v>
      </c>
      <c r="K142" s="194">
        <f t="shared" si="50"/>
        <v>-2482</v>
      </c>
      <c r="L142" s="196">
        <f t="shared" si="49"/>
        <v>4.3851799821783173E-3</v>
      </c>
    </row>
    <row r="143" spans="1:12" x14ac:dyDescent="0.25">
      <c r="A143" s="1"/>
      <c r="B143" s="194" t="s">
        <v>125</v>
      </c>
      <c r="C143" s="195">
        <v>4319</v>
      </c>
      <c r="D143" s="195">
        <v>1170</v>
      </c>
      <c r="E143" s="195">
        <v>2687</v>
      </c>
      <c r="F143" s="195">
        <v>10336</v>
      </c>
      <c r="G143" s="195">
        <v>9722</v>
      </c>
      <c r="H143" s="195">
        <v>6946</v>
      </c>
      <c r="I143" s="195">
        <v>6202</v>
      </c>
      <c r="J143" s="212">
        <f t="shared" si="51"/>
        <v>-0.10711200691045208</v>
      </c>
      <c r="K143" s="194">
        <f t="shared" si="50"/>
        <v>-744</v>
      </c>
      <c r="L143" s="196">
        <f t="shared" si="49"/>
        <v>1.1585961595582314E-3</v>
      </c>
    </row>
    <row r="144" spans="1:12" x14ac:dyDescent="0.25">
      <c r="A144" s="1"/>
      <c r="B144" s="194" t="s">
        <v>121</v>
      </c>
      <c r="C144" s="195">
        <v>4318</v>
      </c>
      <c r="D144" s="195">
        <v>1988</v>
      </c>
      <c r="E144" s="195">
        <v>2445</v>
      </c>
      <c r="F144" s="195">
        <v>4532</v>
      </c>
      <c r="G144" s="195">
        <v>5507</v>
      </c>
      <c r="H144" s="195">
        <v>5702</v>
      </c>
      <c r="I144" s="195">
        <v>4505</v>
      </c>
      <c r="J144" s="212">
        <f t="shared" si="51"/>
        <v>-0.20992634163451418</v>
      </c>
      <c r="K144" s="194">
        <f t="shared" si="50"/>
        <v>-1197</v>
      </c>
      <c r="L144" s="196">
        <f t="shared" si="49"/>
        <v>8.4157944192354611E-4</v>
      </c>
    </row>
    <row r="145" spans="1:12" x14ac:dyDescent="0.25">
      <c r="A145" s="1"/>
      <c r="B145" s="194" t="s">
        <v>130</v>
      </c>
      <c r="C145" s="195">
        <v>2191</v>
      </c>
      <c r="D145" s="195">
        <v>2363</v>
      </c>
      <c r="E145" s="195">
        <v>362</v>
      </c>
      <c r="F145" s="195">
        <v>2541</v>
      </c>
      <c r="G145" s="195">
        <v>2860</v>
      </c>
      <c r="H145" s="195">
        <v>2755</v>
      </c>
      <c r="I145" s="195">
        <v>2954</v>
      </c>
      <c r="J145" s="212">
        <f t="shared" si="51"/>
        <v>7.2232304900181399E-2</v>
      </c>
      <c r="K145" s="194">
        <f t="shared" si="50"/>
        <v>199</v>
      </c>
      <c r="L145" s="196">
        <f t="shared" si="49"/>
        <v>5.5183699699048951E-4</v>
      </c>
    </row>
    <row r="146" spans="1:12" x14ac:dyDescent="0.25">
      <c r="A146" s="193" t="s">
        <v>146</v>
      </c>
      <c r="B146" s="194" t="s">
        <v>133</v>
      </c>
      <c r="C146" s="195">
        <v>5868</v>
      </c>
      <c r="D146" s="195">
        <v>4760</v>
      </c>
      <c r="E146" s="195">
        <v>207</v>
      </c>
      <c r="F146" s="195">
        <v>1315</v>
      </c>
      <c r="G146" s="195">
        <v>2219</v>
      </c>
      <c r="H146" s="195">
        <v>2127</v>
      </c>
      <c r="I146" s="195">
        <v>1617</v>
      </c>
      <c r="J146" s="212">
        <f t="shared" si="51"/>
        <v>-0.23977433004231308</v>
      </c>
      <c r="K146" s="194">
        <f t="shared" si="50"/>
        <v>-510</v>
      </c>
      <c r="L146" s="196">
        <f t="shared" si="49"/>
        <v>3.020719106748888E-4</v>
      </c>
    </row>
    <row r="147" spans="1:12" x14ac:dyDescent="0.25">
      <c r="A147" s="198" t="s">
        <v>147</v>
      </c>
      <c r="B147" s="199" t="s">
        <v>147</v>
      </c>
      <c r="C147" s="200">
        <f t="shared" ref="C147" si="52">C139-SUM(C140:C146)</f>
        <v>51920</v>
      </c>
      <c r="D147" s="200">
        <f t="shared" ref="D147:I147" si="53">D139-SUM(D140:D146)</f>
        <v>22065</v>
      </c>
      <c r="E147" s="200">
        <f t="shared" si="53"/>
        <v>26586</v>
      </c>
      <c r="F147" s="200">
        <f t="shared" si="53"/>
        <v>64604</v>
      </c>
      <c r="G147" s="200">
        <f t="shared" si="53"/>
        <v>70881</v>
      </c>
      <c r="H147" s="200">
        <f t="shared" si="53"/>
        <v>76065</v>
      </c>
      <c r="I147" s="200">
        <f t="shared" si="53"/>
        <v>73633</v>
      </c>
      <c r="J147" s="213">
        <f t="shared" si="51"/>
        <v>-3.1972654966147429E-2</v>
      </c>
      <c r="K147" s="199">
        <f>I147-H147</f>
        <v>-2432</v>
      </c>
      <c r="L147" s="201">
        <f t="shared" si="49"/>
        <v>1.3755387135883789E-2</v>
      </c>
    </row>
    <row r="148" spans="1:12" x14ac:dyDescent="0.25">
      <c r="A148" s="1"/>
      <c r="B148" s="186" t="s">
        <v>55</v>
      </c>
      <c r="C148" s="184"/>
      <c r="D148" s="184"/>
      <c r="E148" s="184"/>
      <c r="F148" s="184"/>
      <c r="G148" s="184"/>
      <c r="H148" s="184"/>
      <c r="I148" s="184"/>
      <c r="J148" s="185"/>
      <c r="K148" s="185"/>
      <c r="L148" s="184"/>
    </row>
    <row r="149" spans="1:12" x14ac:dyDescent="0.25">
      <c r="A149" s="1"/>
      <c r="B149" s="187" t="s">
        <v>70</v>
      </c>
      <c r="C149" s="209">
        <v>120484</v>
      </c>
      <c r="D149" s="209">
        <v>41203</v>
      </c>
      <c r="E149" s="209">
        <v>56562</v>
      </c>
      <c r="F149" s="209">
        <v>103473</v>
      </c>
      <c r="G149" s="209">
        <v>118259</v>
      </c>
      <c r="H149" s="209">
        <v>121233</v>
      </c>
      <c r="I149" s="209">
        <v>121302</v>
      </c>
      <c r="J149" s="210">
        <f>IFERROR(I149/H149-1,"-")</f>
        <v>5.6915196357421038E-4</v>
      </c>
      <c r="K149" s="209">
        <f>I149-H149</f>
        <v>69</v>
      </c>
      <c r="L149" s="210">
        <f t="shared" ref="L149:L161" si="54">I149/I$9</f>
        <v>2.2660437172965592E-2</v>
      </c>
    </row>
    <row r="150" spans="1:12" x14ac:dyDescent="0.25">
      <c r="A150" s="1" t="s">
        <v>98</v>
      </c>
      <c r="B150" s="190" t="s">
        <v>99</v>
      </c>
      <c r="C150" s="191">
        <v>52180</v>
      </c>
      <c r="D150" s="191">
        <v>18426</v>
      </c>
      <c r="E150" s="191">
        <v>34079</v>
      </c>
      <c r="F150" s="191">
        <v>54281</v>
      </c>
      <c r="G150" s="191">
        <v>58402</v>
      </c>
      <c r="H150" s="191">
        <v>53149</v>
      </c>
      <c r="I150" s="191">
        <v>52150</v>
      </c>
      <c r="J150" s="211">
        <f>IFERROR(I150/H150-1,"-")</f>
        <v>-1.8796214416075596E-2</v>
      </c>
      <c r="K150" s="190">
        <f t="shared" ref="K150:K160" si="55">I150-H150</f>
        <v>-999</v>
      </c>
      <c r="L150" s="192">
        <f t="shared" si="54"/>
        <v>9.7421460369174102E-3</v>
      </c>
    </row>
    <row r="151" spans="1:12" x14ac:dyDescent="0.25">
      <c r="A151" s="193" t="s">
        <v>105</v>
      </c>
      <c r="B151" s="194" t="s">
        <v>105</v>
      </c>
      <c r="C151" s="195">
        <v>30730</v>
      </c>
      <c r="D151" s="195">
        <v>10451</v>
      </c>
      <c r="E151" s="195">
        <v>27116</v>
      </c>
      <c r="F151" s="195">
        <v>38603</v>
      </c>
      <c r="G151" s="195">
        <v>42574</v>
      </c>
      <c r="H151" s="195">
        <v>35419</v>
      </c>
      <c r="I151" s="195">
        <v>32553</v>
      </c>
      <c r="J151" s="212">
        <f>IFERROR(I151/H151-1,"-")</f>
        <v>-8.0917021937378264E-2</v>
      </c>
      <c r="K151" s="194">
        <f t="shared" si="55"/>
        <v>-2866</v>
      </c>
      <c r="L151" s="196">
        <f t="shared" si="54"/>
        <v>6.0812287620282341E-3</v>
      </c>
    </row>
    <row r="152" spans="1:12" x14ac:dyDescent="0.25">
      <c r="A152" s="193" t="s">
        <v>102</v>
      </c>
      <c r="B152" s="194" t="s">
        <v>102</v>
      </c>
      <c r="C152" s="195">
        <v>21450</v>
      </c>
      <c r="D152" s="195">
        <v>7975</v>
      </c>
      <c r="E152" s="195">
        <v>6963</v>
      </c>
      <c r="F152" s="195">
        <v>15678</v>
      </c>
      <c r="G152" s="195">
        <v>15828</v>
      </c>
      <c r="H152" s="195">
        <v>17730</v>
      </c>
      <c r="I152" s="195">
        <v>19597</v>
      </c>
      <c r="J152" s="212">
        <f>IFERROR(I152/H152-1,"-")</f>
        <v>0.10530174844895668</v>
      </c>
      <c r="K152" s="194">
        <f t="shared" si="55"/>
        <v>1867</v>
      </c>
      <c r="L152" s="196">
        <f t="shared" si="54"/>
        <v>3.6609172748891749E-3</v>
      </c>
    </row>
    <row r="153" spans="1:12" x14ac:dyDescent="0.25">
      <c r="A153" s="1"/>
      <c r="B153" s="190" t="s">
        <v>109</v>
      </c>
      <c r="C153" s="191">
        <v>68304</v>
      </c>
      <c r="D153" s="191">
        <v>22777</v>
      </c>
      <c r="E153" s="191">
        <v>22483</v>
      </c>
      <c r="F153" s="191">
        <v>49192</v>
      </c>
      <c r="G153" s="191">
        <v>59857</v>
      </c>
      <c r="H153" s="191">
        <v>68084</v>
      </c>
      <c r="I153" s="191">
        <v>69152</v>
      </c>
      <c r="J153" s="211">
        <f>IFERROR(I153/H153-1,"-")</f>
        <v>1.5686504905704668E-2</v>
      </c>
      <c r="K153" s="190">
        <f t="shared" si="55"/>
        <v>1068</v>
      </c>
      <c r="L153" s="192">
        <f t="shared" si="54"/>
        <v>1.2918291136048182E-2</v>
      </c>
    </row>
    <row r="154" spans="1:12" s="74" customFormat="1" x14ac:dyDescent="0.25">
      <c r="B154" s="194" t="s">
        <v>112</v>
      </c>
      <c r="C154" s="195">
        <v>20077</v>
      </c>
      <c r="D154" s="195">
        <v>6054</v>
      </c>
      <c r="E154" s="195">
        <v>2621</v>
      </c>
      <c r="F154" s="195">
        <v>17708</v>
      </c>
      <c r="G154" s="195">
        <v>19229</v>
      </c>
      <c r="H154" s="195">
        <v>20246</v>
      </c>
      <c r="I154" s="195">
        <v>17067</v>
      </c>
      <c r="J154" s="212">
        <f t="shared" ref="J154:J161" si="56">IFERROR(I154/H154-1,"-")</f>
        <v>-0.1570186703546379</v>
      </c>
      <c r="K154" s="194">
        <f t="shared" si="55"/>
        <v>-3179</v>
      </c>
      <c r="L154" s="196">
        <f t="shared" si="54"/>
        <v>3.1882877547856074E-3</v>
      </c>
    </row>
    <row r="155" spans="1:12" s="74" customFormat="1" x14ac:dyDescent="0.25">
      <c r="B155" s="194" t="s">
        <v>115</v>
      </c>
      <c r="C155" s="195">
        <v>18504</v>
      </c>
      <c r="D155" s="195">
        <v>6169</v>
      </c>
      <c r="E155" s="195">
        <v>5431</v>
      </c>
      <c r="F155" s="195">
        <v>10684</v>
      </c>
      <c r="G155" s="195">
        <v>11782</v>
      </c>
      <c r="H155" s="195">
        <v>12112</v>
      </c>
      <c r="I155" s="195">
        <v>11899</v>
      </c>
      <c r="J155" s="212">
        <f t="shared" si="56"/>
        <v>-1.7585865257595756E-2</v>
      </c>
      <c r="K155" s="194">
        <f t="shared" si="55"/>
        <v>-213</v>
      </c>
      <c r="L155" s="196">
        <f t="shared" si="54"/>
        <v>2.2228532251827469E-3</v>
      </c>
    </row>
    <row r="156" spans="1:12" x14ac:dyDescent="0.25">
      <c r="A156" s="1"/>
      <c r="B156" s="194" t="s">
        <v>118</v>
      </c>
      <c r="C156" s="195">
        <v>9829</v>
      </c>
      <c r="D156" s="195">
        <v>2424</v>
      </c>
      <c r="E156" s="195">
        <v>4723</v>
      </c>
      <c r="F156" s="195">
        <v>5791</v>
      </c>
      <c r="G156" s="195">
        <v>9594</v>
      </c>
      <c r="H156" s="195">
        <v>11654</v>
      </c>
      <c r="I156" s="195">
        <v>17922</v>
      </c>
      <c r="J156" s="212">
        <f t="shared" si="56"/>
        <v>0.53784108460614388</v>
      </c>
      <c r="K156" s="194">
        <f t="shared" si="55"/>
        <v>6268</v>
      </c>
      <c r="L156" s="196">
        <f t="shared" si="54"/>
        <v>3.3480103791684334E-3</v>
      </c>
    </row>
    <row r="157" spans="1:12" x14ac:dyDescent="0.25">
      <c r="A157" s="1"/>
      <c r="B157" s="194" t="s">
        <v>125</v>
      </c>
      <c r="C157" s="195">
        <v>1434</v>
      </c>
      <c r="D157" s="195">
        <v>643</v>
      </c>
      <c r="E157" s="195">
        <v>639</v>
      </c>
      <c r="F157" s="195">
        <v>1456</v>
      </c>
      <c r="G157" s="195">
        <v>1815</v>
      </c>
      <c r="H157" s="195">
        <v>2626</v>
      </c>
      <c r="I157" s="195">
        <v>2207</v>
      </c>
      <c r="J157" s="212">
        <f t="shared" si="56"/>
        <v>-0.15955826351865954</v>
      </c>
      <c r="K157" s="194">
        <f t="shared" si="55"/>
        <v>-419</v>
      </c>
      <c r="L157" s="196">
        <f t="shared" si="54"/>
        <v>4.1228986200338874E-4</v>
      </c>
    </row>
    <row r="158" spans="1:12" x14ac:dyDescent="0.25">
      <c r="A158" s="1"/>
      <c r="B158" s="194" t="s">
        <v>121</v>
      </c>
      <c r="C158" s="195">
        <v>2932</v>
      </c>
      <c r="D158" s="195">
        <v>1469</v>
      </c>
      <c r="E158" s="195">
        <v>1476</v>
      </c>
      <c r="F158" s="195">
        <v>3267</v>
      </c>
      <c r="G158" s="195">
        <v>3134</v>
      </c>
      <c r="H158" s="195">
        <v>3566</v>
      </c>
      <c r="I158" s="195">
        <v>2685</v>
      </c>
      <c r="J158" s="212">
        <f t="shared" si="56"/>
        <v>-0.24705552439708356</v>
      </c>
      <c r="K158" s="194">
        <f t="shared" si="55"/>
        <v>-881</v>
      </c>
      <c r="L158" s="196">
        <f t="shared" si="54"/>
        <v>5.0158508358817341E-4</v>
      </c>
    </row>
    <row r="159" spans="1:12" x14ac:dyDescent="0.25">
      <c r="A159" s="1"/>
      <c r="B159" s="194" t="s">
        <v>130</v>
      </c>
      <c r="C159" s="195">
        <v>457</v>
      </c>
      <c r="D159" s="195">
        <v>444</v>
      </c>
      <c r="E159" s="195">
        <v>125</v>
      </c>
      <c r="F159" s="195">
        <v>367</v>
      </c>
      <c r="G159" s="195">
        <v>546</v>
      </c>
      <c r="H159" s="195">
        <v>399</v>
      </c>
      <c r="I159" s="195">
        <v>390</v>
      </c>
      <c r="J159" s="212">
        <f t="shared" si="56"/>
        <v>-2.2556390977443663E-2</v>
      </c>
      <c r="K159" s="194">
        <f t="shared" si="55"/>
        <v>-9</v>
      </c>
      <c r="L159" s="196">
        <f t="shared" si="54"/>
        <v>7.2855933929008435E-5</v>
      </c>
    </row>
    <row r="160" spans="1:12" x14ac:dyDescent="0.25">
      <c r="A160" s="193" t="s">
        <v>146</v>
      </c>
      <c r="B160" s="194" t="s">
        <v>133</v>
      </c>
      <c r="C160" s="195">
        <v>918</v>
      </c>
      <c r="D160" s="195">
        <v>581</v>
      </c>
      <c r="E160" s="195">
        <v>139</v>
      </c>
      <c r="F160" s="195">
        <v>581</v>
      </c>
      <c r="G160" s="195">
        <v>786</v>
      </c>
      <c r="H160" s="195">
        <v>673</v>
      </c>
      <c r="I160" s="195">
        <v>545</v>
      </c>
      <c r="J160" s="212">
        <f t="shared" si="56"/>
        <v>-0.19019316493313521</v>
      </c>
      <c r="K160" s="194">
        <f t="shared" si="55"/>
        <v>-128</v>
      </c>
      <c r="L160" s="196">
        <f t="shared" si="54"/>
        <v>1.0181149741361434E-4</v>
      </c>
    </row>
    <row r="161" spans="1:12" x14ac:dyDescent="0.25">
      <c r="A161" s="198" t="s">
        <v>147</v>
      </c>
      <c r="B161" s="199" t="s">
        <v>147</v>
      </c>
      <c r="C161" s="200">
        <f t="shared" ref="C161" si="57">C153-SUM(C154:C160)</f>
        <v>14153</v>
      </c>
      <c r="D161" s="200">
        <f t="shared" ref="D161:I161" si="58">D153-SUM(D154:D160)</f>
        <v>4993</v>
      </c>
      <c r="E161" s="200">
        <f t="shared" si="58"/>
        <v>7329</v>
      </c>
      <c r="F161" s="200">
        <f t="shared" si="58"/>
        <v>9338</v>
      </c>
      <c r="G161" s="200">
        <f t="shared" si="58"/>
        <v>12971</v>
      </c>
      <c r="H161" s="200">
        <f t="shared" si="58"/>
        <v>16808</v>
      </c>
      <c r="I161" s="200">
        <f t="shared" si="58"/>
        <v>16437</v>
      </c>
      <c r="J161" s="213">
        <f t="shared" si="56"/>
        <v>-2.2072822465492581E-2</v>
      </c>
      <c r="K161" s="199">
        <f>I161-H161</f>
        <v>-371</v>
      </c>
      <c r="L161" s="201">
        <f t="shared" si="54"/>
        <v>3.0705973999772093E-3</v>
      </c>
    </row>
    <row r="162" spans="1:12" ht="6" customHeight="1" x14ac:dyDescent="0.25">
      <c r="C162" s="103"/>
      <c r="D162" s="103"/>
      <c r="E162" s="103"/>
      <c r="F162" s="103"/>
      <c r="G162" s="103"/>
      <c r="H162" s="103"/>
      <c r="I162" s="103"/>
      <c r="J162" s="103"/>
    </row>
    <row r="163" spans="1:12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</row>
  </sheetData>
  <mergeCells count="3">
    <mergeCell ref="B4:L4"/>
    <mergeCell ref="O4:X4"/>
    <mergeCell ref="C6:L6"/>
  </mergeCells>
  <pageMargins left="0.25" right="0.25" top="0.75" bottom="0.75" header="0.3" footer="0.3"/>
  <pageSetup paperSize="9" scale="2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94870-D590-4D8F-9782-E620B99F9B9F}">
  <sheetPr>
    <tabColor rgb="FFBB5C0D"/>
  </sheetPr>
  <dimension ref="A4:A24"/>
  <sheetViews>
    <sheetView showGridLines="0" workbookViewId="0">
      <selection activeCell="D5" sqref="D5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43106-82E1-47BB-9ECB-96D8476706DF}">
  <sheetPr>
    <tabColor rgb="FFF29140"/>
  </sheetPr>
  <dimension ref="A4:O270"/>
  <sheetViews>
    <sheetView showGridLines="0" topLeftCell="E1" zoomScaleNormal="100" workbookViewId="0">
      <selection activeCell="D5" sqref="D5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275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70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 t="shared" ref="C7" si="0">E7-1</f>
        <v>2020</v>
      </c>
      <c r="D7" s="139"/>
      <c r="E7" s="140">
        <f t="shared" ref="E7" si="1">G7-1</f>
        <v>2021</v>
      </c>
      <c r="F7" s="139"/>
      <c r="G7" s="140">
        <f t="shared" ref="G7" si="2">I7-1</f>
        <v>2022</v>
      </c>
      <c r="H7" s="139"/>
      <c r="I7" s="140">
        <f t="shared" ref="I7" si="3"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",RIGHT(E7,2),"/",RIGHT(C7,2))</f>
        <v>var 21/20</v>
      </c>
      <c r="G8" s="144" t="s">
        <v>71</v>
      </c>
      <c r="H8" s="143" t="str">
        <f>CONCATENATE("var ",RIGHT(G7,2),"/",RIGHT(E7,2))</f>
        <v>var 22/21</v>
      </c>
      <c r="I8" s="144" t="s">
        <v>71</v>
      </c>
      <c r="J8" s="143" t="str">
        <f>CONCATENATE("var ",RIGHT(I7,2),"/",RIGHT(G7,2))</f>
        <v>var 23/22</v>
      </c>
      <c r="K8" s="144" t="s">
        <v>71</v>
      </c>
      <c r="L8" s="143" t="str">
        <f>CONCATENATE("var ",RIGHT(K7,2),"/",RIGHT(I7,2))</f>
        <v>var 24/23</v>
      </c>
      <c r="M8" s="144" t="s">
        <v>71</v>
      </c>
      <c r="N8" s="143" t="str">
        <f>CONCATENATE("var ",RIGHT(M7,2),"/",RIGHT(K7,2))</f>
        <v>var 25/24</v>
      </c>
    </row>
    <row r="9" spans="1:15" x14ac:dyDescent="0.25">
      <c r="A9" s="1" t="s">
        <v>72</v>
      </c>
      <c r="B9" s="145" t="s">
        <v>73</v>
      </c>
      <c r="C9" s="146">
        <v>13603</v>
      </c>
      <c r="D9" s="147">
        <v>9.4456512993804864E-2</v>
      </c>
      <c r="E9" s="146">
        <v>2763</v>
      </c>
      <c r="F9" s="147">
        <f t="shared" ref="F9:L21" si="4">IFERROR(E9/C9-1,"-")</f>
        <v>-0.79688304050577075</v>
      </c>
      <c r="G9" s="146">
        <v>11400</v>
      </c>
      <c r="H9" s="147">
        <f t="shared" si="4"/>
        <v>3.1259500542888166</v>
      </c>
      <c r="I9" s="146">
        <v>14353</v>
      </c>
      <c r="J9" s="147">
        <f t="shared" si="4"/>
        <v>0.25903508771929817</v>
      </c>
      <c r="K9" s="146">
        <v>14581</v>
      </c>
      <c r="L9" s="147">
        <f t="shared" si="4"/>
        <v>1.5885180798439258E-2</v>
      </c>
      <c r="M9" s="146">
        <v>14255</v>
      </c>
      <c r="N9" s="147">
        <f>IFERROR(M9/K9-1,"-")</f>
        <v>-2.2357862972361309E-2</v>
      </c>
    </row>
    <row r="10" spans="1:15" x14ac:dyDescent="0.25">
      <c r="A10" s="1" t="s">
        <v>74</v>
      </c>
      <c r="B10" s="145" t="s">
        <v>75</v>
      </c>
      <c r="C10" s="146">
        <v>14342</v>
      </c>
      <c r="D10" s="147">
        <v>6.6081914814539511E-2</v>
      </c>
      <c r="E10" s="146">
        <v>3097</v>
      </c>
      <c r="F10" s="147">
        <f t="shared" si="4"/>
        <v>-0.78406080044624182</v>
      </c>
      <c r="G10" s="146">
        <v>11383</v>
      </c>
      <c r="H10" s="147">
        <f t="shared" si="4"/>
        <v>2.6754924120116241</v>
      </c>
      <c r="I10" s="146">
        <v>14251</v>
      </c>
      <c r="J10" s="147">
        <f t="shared" si="4"/>
        <v>0.25195466924360899</v>
      </c>
      <c r="K10" s="146">
        <v>15138</v>
      </c>
      <c r="L10" s="147">
        <f t="shared" si="4"/>
        <v>6.2241246228334823E-2</v>
      </c>
      <c r="M10" s="146">
        <v>13111</v>
      </c>
      <c r="N10" s="147">
        <f t="shared" ref="N10:N18" si="5">IFERROR(M10/K10-1,"-")</f>
        <v>-0.1339014400845554</v>
      </c>
    </row>
    <row r="11" spans="1:15" x14ac:dyDescent="0.25">
      <c r="A11" s="1" t="s">
        <v>76</v>
      </c>
      <c r="B11" s="145" t="s">
        <v>77</v>
      </c>
      <c r="C11" s="146">
        <v>5714</v>
      </c>
      <c r="D11" s="147">
        <v>-0.58980617372577171</v>
      </c>
      <c r="E11" s="146">
        <v>4959</v>
      </c>
      <c r="F11" s="147">
        <f t="shared" si="4"/>
        <v>-0.13213160658032896</v>
      </c>
      <c r="G11" s="146">
        <v>12710</v>
      </c>
      <c r="H11" s="147">
        <f t="shared" si="4"/>
        <v>1.5630167372454125</v>
      </c>
      <c r="I11" s="146">
        <v>15603</v>
      </c>
      <c r="J11" s="147">
        <f t="shared" si="4"/>
        <v>0.22761605035405186</v>
      </c>
      <c r="K11" s="146">
        <v>15292</v>
      </c>
      <c r="L11" s="147">
        <f t="shared" si="4"/>
        <v>-1.9932064346599998E-2</v>
      </c>
      <c r="M11" s="146">
        <v>14094</v>
      </c>
      <c r="N11" s="147">
        <f t="shared" si="5"/>
        <v>-7.834161653151972E-2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4088</v>
      </c>
      <c r="F12" s="147" t="str">
        <f t="shared" si="4"/>
        <v>-</v>
      </c>
      <c r="G12" s="146">
        <v>12193</v>
      </c>
      <c r="H12" s="147">
        <f t="shared" si="4"/>
        <v>1.9826320939334638</v>
      </c>
      <c r="I12" s="146">
        <v>12703</v>
      </c>
      <c r="J12" s="147">
        <f t="shared" si="4"/>
        <v>4.1827277946362651E-2</v>
      </c>
      <c r="K12" s="146">
        <v>13439</v>
      </c>
      <c r="L12" s="147">
        <f t="shared" si="4"/>
        <v>5.793906951113903E-2</v>
      </c>
      <c r="M12" s="146">
        <v>11979</v>
      </c>
      <c r="N12" s="147">
        <f t="shared" si="5"/>
        <v>-0.10863903564253297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5644</v>
      </c>
      <c r="F13" s="147" t="str">
        <f t="shared" si="4"/>
        <v>-</v>
      </c>
      <c r="G13" s="146">
        <v>10085</v>
      </c>
      <c r="H13" s="147">
        <f t="shared" si="4"/>
        <v>0.78685329553508154</v>
      </c>
      <c r="I13" s="146">
        <v>12793</v>
      </c>
      <c r="J13" s="147">
        <f t="shared" si="4"/>
        <v>0.26851760039662875</v>
      </c>
      <c r="K13" s="146">
        <v>12513</v>
      </c>
      <c r="L13" s="147">
        <f t="shared" si="4"/>
        <v>-2.1886969436410553E-2</v>
      </c>
      <c r="M13" s="146">
        <v>13411</v>
      </c>
      <c r="N13" s="147">
        <f t="shared" si="5"/>
        <v>7.1765364021417755E-2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5487</v>
      </c>
      <c r="F14" s="147" t="str">
        <f t="shared" si="4"/>
        <v>-</v>
      </c>
      <c r="G14" s="146">
        <v>11277</v>
      </c>
      <c r="H14" s="147">
        <f t="shared" si="4"/>
        <v>1.0552214324767633</v>
      </c>
      <c r="I14" s="146">
        <v>10373</v>
      </c>
      <c r="J14" s="147">
        <f t="shared" si="4"/>
        <v>-8.0163163962046591E-2</v>
      </c>
      <c r="K14" s="146">
        <v>10115</v>
      </c>
      <c r="L14" s="147">
        <f t="shared" si="4"/>
        <v>-2.4872264532922017E-2</v>
      </c>
      <c r="M14" s="146">
        <v>11658</v>
      </c>
      <c r="N14" s="147">
        <f t="shared" si="5"/>
        <v>0.15254572417202183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5672</v>
      </c>
      <c r="F15" s="147" t="str">
        <f t="shared" si="4"/>
        <v>-</v>
      </c>
      <c r="G15" s="146">
        <v>10710</v>
      </c>
      <c r="H15" s="147">
        <f t="shared" si="4"/>
        <v>0.8882228490832158</v>
      </c>
      <c r="I15" s="146">
        <v>9594</v>
      </c>
      <c r="J15" s="147">
        <f t="shared" si="4"/>
        <v>-0.10420168067226887</v>
      </c>
      <c r="K15" s="146">
        <v>10140</v>
      </c>
      <c r="L15" s="147">
        <f t="shared" si="4"/>
        <v>5.6910569105691033E-2</v>
      </c>
      <c r="M15" s="146">
        <v>9995</v>
      </c>
      <c r="N15" s="147">
        <f t="shared" si="5"/>
        <v>-1.429980276134124E-2</v>
      </c>
    </row>
    <row r="16" spans="1:15" x14ac:dyDescent="0.25">
      <c r="A16" s="1" t="s">
        <v>86</v>
      </c>
      <c r="B16" s="145" t="s">
        <v>87</v>
      </c>
      <c r="C16" s="146">
        <v>6941</v>
      </c>
      <c r="D16" s="147">
        <v>-0.24357018308631206</v>
      </c>
      <c r="E16" s="146">
        <v>8587</v>
      </c>
      <c r="F16" s="147">
        <f t="shared" si="4"/>
        <v>0.23714162224463342</v>
      </c>
      <c r="G16" s="146">
        <v>10270</v>
      </c>
      <c r="H16" s="147">
        <f t="shared" si="4"/>
        <v>0.19599394433445916</v>
      </c>
      <c r="I16" s="146">
        <v>11871</v>
      </c>
      <c r="J16" s="147">
        <f t="shared" si="4"/>
        <v>0.15589094449853946</v>
      </c>
      <c r="K16" s="146">
        <v>9259</v>
      </c>
      <c r="L16" s="147">
        <f t="shared" si="4"/>
        <v>-0.22003201078257939</v>
      </c>
      <c r="M16" s="146">
        <v>11761</v>
      </c>
      <c r="N16" s="147">
        <f t="shared" si="5"/>
        <v>0.27022356625985533</v>
      </c>
    </row>
    <row r="17" spans="1:15" x14ac:dyDescent="0.25">
      <c r="A17" s="1" t="s">
        <v>88</v>
      </c>
      <c r="B17" s="145" t="s">
        <v>89</v>
      </c>
      <c r="C17" s="146">
        <v>3767</v>
      </c>
      <c r="D17" s="147">
        <v>-0.5293015119330251</v>
      </c>
      <c r="E17" s="146">
        <v>9600</v>
      </c>
      <c r="F17" s="147">
        <f t="shared" si="4"/>
        <v>1.5484470400849482</v>
      </c>
      <c r="G17" s="146">
        <v>10967</v>
      </c>
      <c r="H17" s="147">
        <f t="shared" si="4"/>
        <v>0.14239583333333328</v>
      </c>
      <c r="I17" s="146">
        <v>10606</v>
      </c>
      <c r="J17" s="147">
        <f t="shared" si="4"/>
        <v>-3.2916932616029904E-2</v>
      </c>
      <c r="K17" s="146">
        <v>11345</v>
      </c>
      <c r="L17" s="147">
        <f t="shared" si="4"/>
        <v>6.9677541014520061E-2</v>
      </c>
      <c r="M17" s="146">
        <v>10902</v>
      </c>
      <c r="N17" s="147">
        <f t="shared" si="5"/>
        <v>-3.9048038783605077E-2</v>
      </c>
    </row>
    <row r="18" spans="1:15" x14ac:dyDescent="0.25">
      <c r="A18" s="1" t="s">
        <v>90</v>
      </c>
      <c r="B18" s="145" t="s">
        <v>91</v>
      </c>
      <c r="C18" s="146">
        <v>3603</v>
      </c>
      <c r="D18" s="147">
        <v>-0.66124482888303882</v>
      </c>
      <c r="E18" s="146">
        <v>10119</v>
      </c>
      <c r="F18" s="147">
        <f t="shared" si="4"/>
        <v>1.8084929225645294</v>
      </c>
      <c r="G18" s="146">
        <v>11595</v>
      </c>
      <c r="H18" s="147">
        <f t="shared" si="4"/>
        <v>0.14586421583160392</v>
      </c>
      <c r="I18" s="146">
        <v>11107</v>
      </c>
      <c r="J18" s="147">
        <f t="shared" si="4"/>
        <v>-4.208710651142733E-2</v>
      </c>
      <c r="K18" s="146">
        <v>12187</v>
      </c>
      <c r="L18" s="147">
        <f t="shared" si="4"/>
        <v>9.7235977311605382E-2</v>
      </c>
      <c r="M18" s="146">
        <v>14433</v>
      </c>
      <c r="N18" s="147">
        <f t="shared" si="5"/>
        <v>0.18429474029703785</v>
      </c>
    </row>
    <row r="19" spans="1:15" x14ac:dyDescent="0.25">
      <c r="A19" s="1" t="s">
        <v>92</v>
      </c>
      <c r="B19" s="145" t="s">
        <v>93</v>
      </c>
      <c r="C19" s="146">
        <v>3555</v>
      </c>
      <c r="D19" s="147">
        <v>-0.74897613331450352</v>
      </c>
      <c r="E19" s="146">
        <v>12186</v>
      </c>
      <c r="F19" s="147">
        <f t="shared" si="4"/>
        <v>2.4278481012658228</v>
      </c>
      <c r="G19" s="146">
        <v>13053</v>
      </c>
      <c r="H19" s="147">
        <f t="shared" si="4"/>
        <v>7.1147218119153033E-2</v>
      </c>
      <c r="I19" s="146">
        <v>13216</v>
      </c>
      <c r="J19" s="147">
        <f t="shared" si="4"/>
        <v>1.2487550754615828E-2</v>
      </c>
      <c r="K19" s="146">
        <v>14972</v>
      </c>
      <c r="L19" s="147">
        <f t="shared" si="4"/>
        <v>0.13286924939467304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4049</v>
      </c>
      <c r="D20" s="147">
        <v>-0.68901689708141323</v>
      </c>
      <c r="E20" s="146">
        <v>11200</v>
      </c>
      <c r="F20" s="147">
        <f t="shared" si="4"/>
        <v>1.766115090145715</v>
      </c>
      <c r="G20" s="146">
        <v>12114</v>
      </c>
      <c r="H20" s="147">
        <f t="shared" si="4"/>
        <v>8.1607142857142767E-2</v>
      </c>
      <c r="I20" s="146">
        <v>11864</v>
      </c>
      <c r="J20" s="147">
        <f t="shared" si="4"/>
        <v>-2.06372791811128E-2</v>
      </c>
      <c r="K20" s="146">
        <v>13319</v>
      </c>
      <c r="L20" s="147">
        <f t="shared" si="4"/>
        <v>0.12263991908293992</v>
      </c>
      <c r="M20" s="146"/>
      <c r="N20" s="147"/>
    </row>
    <row r="21" spans="1:15" ht="15.75" x14ac:dyDescent="0.25">
      <c r="A21" s="1" t="s">
        <v>0</v>
      </c>
      <c r="B21" s="148" t="s">
        <v>32</v>
      </c>
      <c r="C21" s="149">
        <v>59047</v>
      </c>
      <c r="D21" s="150">
        <v>-0.56623275494762204</v>
      </c>
      <c r="E21" s="149">
        <v>83402</v>
      </c>
      <c r="F21" s="150">
        <f t="shared" si="4"/>
        <v>0.41246803393906539</v>
      </c>
      <c r="G21" s="149">
        <v>137757</v>
      </c>
      <c r="H21" s="150">
        <f t="shared" si="4"/>
        <v>0.65172298026426234</v>
      </c>
      <c r="I21" s="149">
        <v>148334</v>
      </c>
      <c r="J21" s="150">
        <f t="shared" si="4"/>
        <v>7.6780127325653202E-2</v>
      </c>
      <c r="K21" s="149">
        <v>152300</v>
      </c>
      <c r="L21" s="150">
        <f t="shared" si="4"/>
        <v>2.6736958485579887E-2</v>
      </c>
      <c r="M21" s="149">
        <v>125599</v>
      </c>
      <c r="N21" s="150">
        <v>1.2821650041529242E-2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C24" s="151"/>
      <c r="K24" s="151"/>
      <c r="N24" s="103"/>
    </row>
    <row r="26" spans="1:15" ht="48.75" customHeight="1" thickBot="1" x14ac:dyDescent="0.3">
      <c r="B26" s="12" t="s">
        <v>276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99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$C$7</f>
        <v>2020</v>
      </c>
      <c r="D29" s="139"/>
      <c r="E29" s="140">
        <f>$E$7</f>
        <v>2021</v>
      </c>
      <c r="F29" s="139"/>
      <c r="G29" s="140">
        <f>$G$7</f>
        <v>2022</v>
      </c>
      <c r="H29" s="139"/>
      <c r="I29" s="140">
        <f>$I$7</f>
        <v>2023</v>
      </c>
      <c r="J29" s="139"/>
      <c r="K29" s="140">
        <f>$K$7</f>
        <v>2024</v>
      </c>
      <c r="L29" s="139"/>
      <c r="M29" s="140">
        <f>$M$7</f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CONCATENATE("var. ",RIGHT(C29,2),"/",RIGHT(C29-1,2))</f>
        <v>var. 20/19</v>
      </c>
      <c r="E30" s="144" t="s">
        <v>71</v>
      </c>
      <c r="F30" s="143" t="s">
        <v>252</v>
      </c>
      <c r="G30" s="144" t="s">
        <v>71</v>
      </c>
      <c r="H30" s="143" t="s">
        <v>252</v>
      </c>
      <c r="I30" s="144" t="s">
        <v>71</v>
      </c>
      <c r="J30" s="143" t="s">
        <v>252</v>
      </c>
      <c r="K30" s="144" t="s">
        <v>71</v>
      </c>
      <c r="L30" s="143" t="s">
        <v>252</v>
      </c>
      <c r="M30" s="144" t="s">
        <v>71</v>
      </c>
      <c r="N30" s="143" t="s">
        <v>277</v>
      </c>
    </row>
    <row r="31" spans="1:15" x14ac:dyDescent="0.25">
      <c r="B31" s="145" t="s">
        <v>73</v>
      </c>
      <c r="C31" s="146">
        <v>5825</v>
      </c>
      <c r="D31" s="147">
        <v>0.11249045072574493</v>
      </c>
      <c r="E31" s="146">
        <v>1115</v>
      </c>
      <c r="F31" s="147">
        <f t="shared" ref="F31:L43" si="6">IFERROR(E31/C31-1,"-")</f>
        <v>-0.80858369098712446</v>
      </c>
      <c r="G31" s="146">
        <v>4881</v>
      </c>
      <c r="H31" s="147">
        <f t="shared" si="6"/>
        <v>3.3775784753363229</v>
      </c>
      <c r="I31" s="146">
        <v>5640</v>
      </c>
      <c r="J31" s="147">
        <f t="shared" si="6"/>
        <v>0.15550092194222498</v>
      </c>
      <c r="K31" s="146">
        <v>3830</v>
      </c>
      <c r="L31" s="147">
        <f t="shared" si="6"/>
        <v>-0.32092198581560283</v>
      </c>
      <c r="M31" s="146">
        <v>4817</v>
      </c>
      <c r="N31" s="147">
        <f t="shared" ref="N31:N40" si="7">IFERROR(M31/K31-1,"-")</f>
        <v>0.25770234986945173</v>
      </c>
    </row>
    <row r="32" spans="1:15" x14ac:dyDescent="0.25">
      <c r="B32" s="145" t="s">
        <v>75</v>
      </c>
      <c r="C32" s="146">
        <v>5371</v>
      </c>
      <c r="D32" s="147">
        <v>-2.3099308839578003E-2</v>
      </c>
      <c r="E32" s="146">
        <v>1325</v>
      </c>
      <c r="F32" s="147">
        <f t="shared" si="6"/>
        <v>-0.75330478495624653</v>
      </c>
      <c r="G32" s="146">
        <v>4475</v>
      </c>
      <c r="H32" s="147">
        <f t="shared" si="6"/>
        <v>2.3773584905660377</v>
      </c>
      <c r="I32" s="146">
        <v>5737</v>
      </c>
      <c r="J32" s="147">
        <f t="shared" si="6"/>
        <v>0.28201117318435753</v>
      </c>
      <c r="K32" s="146">
        <v>4983</v>
      </c>
      <c r="L32" s="147">
        <f t="shared" si="6"/>
        <v>-0.13142757538783334</v>
      </c>
      <c r="M32" s="146">
        <v>3847</v>
      </c>
      <c r="N32" s="147">
        <f t="shared" si="7"/>
        <v>-0.22797511539233395</v>
      </c>
    </row>
    <row r="33" spans="2:15" x14ac:dyDescent="0.25">
      <c r="B33" s="145" t="s">
        <v>77</v>
      </c>
      <c r="C33" s="146">
        <v>2182</v>
      </c>
      <c r="D33" s="147">
        <v>-0.61035714285714282</v>
      </c>
      <c r="E33" s="146">
        <v>2482</v>
      </c>
      <c r="F33" s="147">
        <f t="shared" si="6"/>
        <v>0.13748854262144827</v>
      </c>
      <c r="G33" s="146">
        <v>5439</v>
      </c>
      <c r="H33" s="147">
        <f t="shared" si="6"/>
        <v>1.1913779210314264</v>
      </c>
      <c r="I33" s="146">
        <v>6448</v>
      </c>
      <c r="J33" s="147">
        <f t="shared" si="6"/>
        <v>0.18551204265489973</v>
      </c>
      <c r="K33" s="146">
        <v>5213</v>
      </c>
      <c r="L33" s="147">
        <f t="shared" si="6"/>
        <v>-0.19153225806451613</v>
      </c>
      <c r="M33" s="146">
        <v>4829</v>
      </c>
      <c r="N33" s="147">
        <f t="shared" si="7"/>
        <v>-7.3661998849031241E-2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1862</v>
      </c>
      <c r="F34" s="147" t="str">
        <f t="shared" si="6"/>
        <v>-</v>
      </c>
      <c r="G34" s="146">
        <v>5937</v>
      </c>
      <c r="H34" s="147">
        <f t="shared" si="6"/>
        <v>2.1885069817400646</v>
      </c>
      <c r="I34" s="146">
        <v>6231</v>
      </c>
      <c r="J34" s="147">
        <f t="shared" si="6"/>
        <v>4.9519959575543115E-2</v>
      </c>
      <c r="K34" s="146">
        <v>5955</v>
      </c>
      <c r="L34" s="147">
        <f t="shared" si="6"/>
        <v>-4.4294655753490564E-2</v>
      </c>
      <c r="M34" s="146">
        <v>6149</v>
      </c>
      <c r="N34" s="147">
        <f t="shared" si="7"/>
        <v>3.2577665827036029E-2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3198</v>
      </c>
      <c r="F35" s="147" t="str">
        <f t="shared" si="6"/>
        <v>-</v>
      </c>
      <c r="G35" s="146">
        <v>5218</v>
      </c>
      <c r="H35" s="147">
        <f t="shared" si="6"/>
        <v>0.6316447779862413</v>
      </c>
      <c r="I35" s="146">
        <v>7187</v>
      </c>
      <c r="J35" s="147">
        <f t="shared" si="6"/>
        <v>0.37734764277500954</v>
      </c>
      <c r="K35" s="146">
        <v>6735</v>
      </c>
      <c r="L35" s="147">
        <f t="shared" si="6"/>
        <v>-6.2891331570891884E-2</v>
      </c>
      <c r="M35" s="146">
        <v>7528</v>
      </c>
      <c r="N35" s="147">
        <f t="shared" si="7"/>
        <v>0.11774313288789906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3249</v>
      </c>
      <c r="F36" s="147" t="str">
        <f t="shared" si="6"/>
        <v>-</v>
      </c>
      <c r="G36" s="146">
        <v>7954</v>
      </c>
      <c r="H36" s="147">
        <f t="shared" si="6"/>
        <v>1.448137888581102</v>
      </c>
      <c r="I36" s="146">
        <v>6546</v>
      </c>
      <c r="J36" s="147">
        <f t="shared" si="6"/>
        <v>-0.17701785265275338</v>
      </c>
      <c r="K36" s="146">
        <v>6147</v>
      </c>
      <c r="L36" s="147">
        <f t="shared" si="6"/>
        <v>-6.0953253895508652E-2</v>
      </c>
      <c r="M36" s="146">
        <v>7419</v>
      </c>
      <c r="N36" s="147">
        <f t="shared" si="7"/>
        <v>0.20693020985846755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3172</v>
      </c>
      <c r="F37" s="147" t="str">
        <f t="shared" si="6"/>
        <v>-</v>
      </c>
      <c r="G37" s="146">
        <v>6763</v>
      </c>
      <c r="H37" s="147">
        <f t="shared" si="6"/>
        <v>1.1320933165195459</v>
      </c>
      <c r="I37" s="146">
        <v>6308</v>
      </c>
      <c r="J37" s="147">
        <f t="shared" si="6"/>
        <v>-6.7277835280201148E-2</v>
      </c>
      <c r="K37" s="146">
        <v>6741</v>
      </c>
      <c r="L37" s="147">
        <f t="shared" si="6"/>
        <v>6.8642993024730536E-2</v>
      </c>
      <c r="M37" s="146">
        <v>6401</v>
      </c>
      <c r="N37" s="147">
        <f t="shared" si="7"/>
        <v>-5.0437620531078475E-2</v>
      </c>
    </row>
    <row r="38" spans="2:15" x14ac:dyDescent="0.25">
      <c r="B38" s="145" t="s">
        <v>87</v>
      </c>
      <c r="C38" s="146">
        <v>5019</v>
      </c>
      <c r="D38" s="147">
        <v>-0.20358616312281819</v>
      </c>
      <c r="E38" s="146">
        <v>4452</v>
      </c>
      <c r="F38" s="147">
        <f t="shared" si="6"/>
        <v>-0.11297071129707115</v>
      </c>
      <c r="G38" s="146">
        <v>6043</v>
      </c>
      <c r="H38" s="147">
        <f t="shared" si="6"/>
        <v>0.35736747529200352</v>
      </c>
      <c r="I38" s="146">
        <v>7150</v>
      </c>
      <c r="J38" s="147">
        <f t="shared" si="6"/>
        <v>0.18318715869601188</v>
      </c>
      <c r="K38" s="146">
        <v>4695</v>
      </c>
      <c r="L38" s="147">
        <f t="shared" si="6"/>
        <v>-0.3433566433566434</v>
      </c>
      <c r="M38" s="146">
        <v>7231</v>
      </c>
      <c r="N38" s="147">
        <f t="shared" si="7"/>
        <v>0.54014909478168271</v>
      </c>
    </row>
    <row r="39" spans="2:15" x14ac:dyDescent="0.25">
      <c r="B39" s="145" t="s">
        <v>89</v>
      </c>
      <c r="C39" s="146">
        <v>3075</v>
      </c>
      <c r="D39" s="147">
        <v>-0.40910837817063794</v>
      </c>
      <c r="E39" s="146">
        <v>6546</v>
      </c>
      <c r="F39" s="147">
        <f t="shared" si="6"/>
        <v>1.1287804878048782</v>
      </c>
      <c r="G39" s="146">
        <v>6733</v>
      </c>
      <c r="H39" s="147">
        <f t="shared" si="6"/>
        <v>2.8567063855789776E-2</v>
      </c>
      <c r="I39" s="146">
        <v>6420</v>
      </c>
      <c r="J39" s="147">
        <f t="shared" si="6"/>
        <v>-4.6487449873756082E-2</v>
      </c>
      <c r="K39" s="146">
        <v>7407</v>
      </c>
      <c r="L39" s="147">
        <f t="shared" si="6"/>
        <v>0.1537383177570093</v>
      </c>
      <c r="M39" s="146">
        <v>6574</v>
      </c>
      <c r="N39" s="147">
        <f t="shared" si="7"/>
        <v>-0.11246118536519512</v>
      </c>
    </row>
    <row r="40" spans="2:15" x14ac:dyDescent="0.25">
      <c r="B40" s="145" t="s">
        <v>91</v>
      </c>
      <c r="C40" s="146">
        <v>2778</v>
      </c>
      <c r="D40" s="147">
        <v>-0.53216571236106436</v>
      </c>
      <c r="E40" s="146">
        <v>3923</v>
      </c>
      <c r="F40" s="147">
        <f t="shared" si="6"/>
        <v>0.41216702663786897</v>
      </c>
      <c r="G40" s="146">
        <v>5470</v>
      </c>
      <c r="H40" s="147">
        <f t="shared" si="6"/>
        <v>0.39434106551108838</v>
      </c>
      <c r="I40" s="146">
        <v>5517</v>
      </c>
      <c r="J40" s="147">
        <f t="shared" si="6"/>
        <v>8.5923217550274433E-3</v>
      </c>
      <c r="K40" s="146">
        <v>5734</v>
      </c>
      <c r="L40" s="147">
        <f t="shared" si="6"/>
        <v>3.9332970817473223E-2</v>
      </c>
      <c r="M40" s="146">
        <v>7715</v>
      </c>
      <c r="N40" s="147">
        <f t="shared" si="7"/>
        <v>0.34548308336239963</v>
      </c>
    </row>
    <row r="41" spans="2:15" x14ac:dyDescent="0.25">
      <c r="B41" s="145" t="s">
        <v>93</v>
      </c>
      <c r="C41" s="146">
        <v>2443</v>
      </c>
      <c r="D41" s="147">
        <v>-0.62945548308812382</v>
      </c>
      <c r="E41" s="146">
        <v>5062</v>
      </c>
      <c r="F41" s="147">
        <f t="shared" si="6"/>
        <v>1.0720425706099057</v>
      </c>
      <c r="G41" s="146">
        <v>5918</v>
      </c>
      <c r="H41" s="147">
        <f t="shared" si="6"/>
        <v>0.16910312129593041</v>
      </c>
      <c r="I41" s="146">
        <v>4448</v>
      </c>
      <c r="J41" s="147">
        <f t="shared" si="6"/>
        <v>-0.24839472794863127</v>
      </c>
      <c r="K41" s="146">
        <v>7338</v>
      </c>
      <c r="L41" s="147">
        <f t="shared" si="6"/>
        <v>0.64973021582733814</v>
      </c>
      <c r="M41" s="146"/>
      <c r="N41" s="147"/>
    </row>
    <row r="42" spans="2:15" x14ac:dyDescent="0.25">
      <c r="B42" s="145" t="s">
        <v>95</v>
      </c>
      <c r="C42" s="146">
        <v>2474</v>
      </c>
      <c r="D42" s="147">
        <v>-0.64176078772082246</v>
      </c>
      <c r="E42" s="146">
        <v>5677</v>
      </c>
      <c r="F42" s="147">
        <f t="shared" si="6"/>
        <v>1.2946645109135004</v>
      </c>
      <c r="G42" s="146">
        <v>6120</v>
      </c>
      <c r="H42" s="147">
        <f t="shared" si="6"/>
        <v>7.8034172978685978E-2</v>
      </c>
      <c r="I42" s="146">
        <v>4800</v>
      </c>
      <c r="J42" s="147">
        <f t="shared" si="6"/>
        <v>-0.21568627450980393</v>
      </c>
      <c r="K42" s="146">
        <v>6283</v>
      </c>
      <c r="L42" s="147">
        <f t="shared" si="6"/>
        <v>0.30895833333333322</v>
      </c>
      <c r="M42" s="146"/>
      <c r="N42" s="147"/>
    </row>
    <row r="43" spans="2:15" ht="15.75" x14ac:dyDescent="0.25">
      <c r="B43" s="148" t="s">
        <v>32</v>
      </c>
      <c r="C43" s="149">
        <v>31800</v>
      </c>
      <c r="D43" s="150">
        <v>-0.56397740360884119</v>
      </c>
      <c r="E43" s="149">
        <v>42063</v>
      </c>
      <c r="F43" s="150">
        <f t="shared" si="6"/>
        <v>0.32273584905660369</v>
      </c>
      <c r="G43" s="149">
        <v>70951</v>
      </c>
      <c r="H43" s="150">
        <f t="shared" si="6"/>
        <v>0.68677935477735774</v>
      </c>
      <c r="I43" s="149">
        <v>72432</v>
      </c>
      <c r="J43" s="150">
        <f t="shared" si="6"/>
        <v>2.0873560626347709E-2</v>
      </c>
      <c r="K43" s="149">
        <v>71061</v>
      </c>
      <c r="L43" s="150">
        <f t="shared" si="6"/>
        <v>-1.8928098078197508E-2</v>
      </c>
      <c r="M43" s="149">
        <v>62510</v>
      </c>
      <c r="N43" s="150">
        <v>8.8266016713091977E-2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C46" s="151"/>
      <c r="K46" s="151"/>
      <c r="N46" s="103"/>
    </row>
    <row r="48" spans="2:15" ht="48.75" customHeight="1" thickBot="1" x14ac:dyDescent="0.3">
      <c r="B48" s="12" t="s">
        <v>278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102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$C$7</f>
        <v>2020</v>
      </c>
      <c r="D51" s="139"/>
      <c r="E51" s="140">
        <f>$E$7</f>
        <v>2021</v>
      </c>
      <c r="F51" s="139"/>
      <c r="G51" s="140">
        <f>$G$7</f>
        <v>2022</v>
      </c>
      <c r="H51" s="139"/>
      <c r="I51" s="140">
        <f>$I$7</f>
        <v>2023</v>
      </c>
      <c r="J51" s="139"/>
      <c r="K51" s="140">
        <f>$K$7</f>
        <v>2024</v>
      </c>
      <c r="L51" s="139"/>
      <c r="M51" s="140">
        <f>$M$7</f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CONCATENATE("var. ",RIGHT(C51,2),"/",RIGHT(C51-1,2))</f>
        <v>var. 20/19</v>
      </c>
      <c r="E52" s="144" t="s">
        <v>71</v>
      </c>
      <c r="F52" s="143" t="s">
        <v>252</v>
      </c>
      <c r="G52" s="144" t="s">
        <v>71</v>
      </c>
      <c r="H52" s="143" t="s">
        <v>252</v>
      </c>
      <c r="I52" s="144" t="s">
        <v>71</v>
      </c>
      <c r="J52" s="143" t="s">
        <v>252</v>
      </c>
      <c r="K52" s="144" t="s">
        <v>71</v>
      </c>
      <c r="L52" s="143" t="s">
        <v>252</v>
      </c>
      <c r="M52" s="144" t="s">
        <v>71</v>
      </c>
      <c r="N52" s="143" t="s">
        <v>277</v>
      </c>
    </row>
    <row r="53" spans="1:15" x14ac:dyDescent="0.25">
      <c r="A53" s="1">
        <v>1</v>
      </c>
      <c r="B53" s="145" t="s">
        <v>73</v>
      </c>
      <c r="C53" s="146">
        <v>2984</v>
      </c>
      <c r="D53" s="147">
        <v>5.0704225352112609E-2</v>
      </c>
      <c r="E53" s="146">
        <v>572</v>
      </c>
      <c r="F53" s="147">
        <f>IFERROR(E53/C53-1,"-")</f>
        <v>-0.80831099195710454</v>
      </c>
      <c r="G53" s="146">
        <v>2810</v>
      </c>
      <c r="H53" s="147">
        <f>IFERROR(G53/E53-1,"-")</f>
        <v>3.9125874125874125</v>
      </c>
      <c r="I53" s="146">
        <v>3391</v>
      </c>
      <c r="J53" s="147">
        <f>IFERROR(I53/G53-1,"-")</f>
        <v>0.2067615658362989</v>
      </c>
      <c r="K53" s="146">
        <v>2615</v>
      </c>
      <c r="L53" s="147">
        <f>IFERROR(K53/I53-1,"-")</f>
        <v>-0.22884104983780595</v>
      </c>
      <c r="M53" s="146">
        <v>3451</v>
      </c>
      <c r="N53" s="147">
        <f t="shared" ref="N53:N62" si="8">IFERROR(M53/K53-1,"-")</f>
        <v>0.31969407265774374</v>
      </c>
    </row>
    <row r="54" spans="1:15" x14ac:dyDescent="0.25">
      <c r="A54" s="1">
        <v>2</v>
      </c>
      <c r="B54" s="145" t="s">
        <v>75</v>
      </c>
      <c r="C54" s="146">
        <v>2825</v>
      </c>
      <c r="D54" s="147">
        <v>-0.1149749373433584</v>
      </c>
      <c r="E54" s="146">
        <v>604</v>
      </c>
      <c r="F54" s="147">
        <f t="shared" ref="F54:L65" si="9">IFERROR(E54/C54-1,"-")</f>
        <v>-0.78619469026548672</v>
      </c>
      <c r="G54" s="146">
        <v>2634</v>
      </c>
      <c r="H54" s="147">
        <f t="shared" si="9"/>
        <v>3.3609271523178812</v>
      </c>
      <c r="I54" s="146">
        <v>4989</v>
      </c>
      <c r="J54" s="147">
        <f t="shared" si="9"/>
        <v>0.89407744874715256</v>
      </c>
      <c r="K54" s="146">
        <v>3734</v>
      </c>
      <c r="L54" s="147">
        <f t="shared" si="9"/>
        <v>-0.25155341751854077</v>
      </c>
      <c r="M54" s="146">
        <v>2525</v>
      </c>
      <c r="N54" s="147">
        <f t="shared" si="8"/>
        <v>-0.32378146759507231</v>
      </c>
    </row>
    <row r="55" spans="1:15" x14ac:dyDescent="0.25">
      <c r="A55" s="1">
        <v>3</v>
      </c>
      <c r="B55" s="145" t="s">
        <v>77</v>
      </c>
      <c r="C55" s="146">
        <v>1144</v>
      </c>
      <c r="D55" s="147">
        <v>-0.65312310491206793</v>
      </c>
      <c r="E55" s="146">
        <v>907</v>
      </c>
      <c r="F55" s="147">
        <f t="shared" si="9"/>
        <v>-0.20716783216783219</v>
      </c>
      <c r="G55" s="146">
        <v>2645</v>
      </c>
      <c r="H55" s="147">
        <f t="shared" si="9"/>
        <v>1.9162072767364937</v>
      </c>
      <c r="I55" s="146">
        <v>5342</v>
      </c>
      <c r="J55" s="147">
        <f t="shared" si="9"/>
        <v>1.0196597353497165</v>
      </c>
      <c r="K55" s="146">
        <v>3989</v>
      </c>
      <c r="L55" s="147">
        <f t="shared" si="9"/>
        <v>-0.2532759266192437</v>
      </c>
      <c r="M55" s="146">
        <v>3569</v>
      </c>
      <c r="N55" s="147">
        <f t="shared" si="8"/>
        <v>-0.10528954625219356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961</v>
      </c>
      <c r="F56" s="147" t="str">
        <f t="shared" si="9"/>
        <v>-</v>
      </c>
      <c r="G56" s="146">
        <v>3480</v>
      </c>
      <c r="H56" s="147">
        <f t="shared" si="9"/>
        <v>2.6212278876170654</v>
      </c>
      <c r="I56" s="146">
        <v>4282</v>
      </c>
      <c r="J56" s="147">
        <f t="shared" si="9"/>
        <v>0.23045977011494245</v>
      </c>
      <c r="K56" s="146">
        <v>4847</v>
      </c>
      <c r="L56" s="147">
        <f t="shared" si="9"/>
        <v>0.13194768799626333</v>
      </c>
      <c r="M56" s="146">
        <v>4818</v>
      </c>
      <c r="N56" s="147">
        <f t="shared" si="8"/>
        <v>-5.9830823189601645E-3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1298</v>
      </c>
      <c r="F57" s="147" t="str">
        <f t="shared" si="9"/>
        <v>-</v>
      </c>
      <c r="G57" s="146">
        <v>3533</v>
      </c>
      <c r="H57" s="147">
        <f t="shared" si="9"/>
        <v>1.721879815100154</v>
      </c>
      <c r="I57" s="146">
        <v>5072</v>
      </c>
      <c r="J57" s="147">
        <f t="shared" si="9"/>
        <v>0.43560713274837259</v>
      </c>
      <c r="K57" s="146">
        <v>4477</v>
      </c>
      <c r="L57" s="147">
        <f t="shared" si="9"/>
        <v>-0.11731072555205047</v>
      </c>
      <c r="M57" s="146">
        <v>4362</v>
      </c>
      <c r="N57" s="147">
        <f t="shared" si="8"/>
        <v>-2.5686843868662046E-2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1478</v>
      </c>
      <c r="F58" s="147" t="str">
        <f t="shared" si="9"/>
        <v>-</v>
      </c>
      <c r="G58" s="146">
        <v>3726</v>
      </c>
      <c r="H58" s="147">
        <f t="shared" si="9"/>
        <v>1.5209742895805141</v>
      </c>
      <c r="I58" s="146">
        <v>5380</v>
      </c>
      <c r="J58" s="147">
        <f t="shared" si="9"/>
        <v>0.44390767579173374</v>
      </c>
      <c r="K58" s="146">
        <v>4983</v>
      </c>
      <c r="L58" s="147">
        <f t="shared" si="9"/>
        <v>-7.3791821561338344E-2</v>
      </c>
      <c r="M58" s="146">
        <v>4317</v>
      </c>
      <c r="N58" s="147">
        <f t="shared" si="8"/>
        <v>-0.13365442504515357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1981</v>
      </c>
      <c r="F59" s="147" t="str">
        <f t="shared" si="9"/>
        <v>-</v>
      </c>
      <c r="G59" s="146">
        <v>3912</v>
      </c>
      <c r="H59" s="147">
        <f t="shared" si="9"/>
        <v>0.97476022211004554</v>
      </c>
      <c r="I59" s="146">
        <v>4305</v>
      </c>
      <c r="J59" s="147">
        <f t="shared" si="9"/>
        <v>0.10046012269938642</v>
      </c>
      <c r="K59" s="146">
        <v>4074</v>
      </c>
      <c r="L59" s="147">
        <f t="shared" si="9"/>
        <v>-5.3658536585365901E-2</v>
      </c>
      <c r="M59" s="146">
        <v>4339</v>
      </c>
      <c r="N59" s="147">
        <f t="shared" si="8"/>
        <v>6.5046637211585656E-2</v>
      </c>
    </row>
    <row r="60" spans="1:15" x14ac:dyDescent="0.25">
      <c r="A60" s="1">
        <v>8</v>
      </c>
      <c r="B60" s="145" t="s">
        <v>87</v>
      </c>
      <c r="C60" s="146">
        <v>2716</v>
      </c>
      <c r="D60" s="147">
        <v>-0.20491803278688525</v>
      </c>
      <c r="E60" s="146">
        <v>3096</v>
      </c>
      <c r="F60" s="147">
        <f t="shared" si="9"/>
        <v>0.13991163475699553</v>
      </c>
      <c r="G60" s="146">
        <v>3999</v>
      </c>
      <c r="H60" s="147">
        <f t="shared" si="9"/>
        <v>0.29166666666666674</v>
      </c>
      <c r="I60" s="146">
        <v>4444</v>
      </c>
      <c r="J60" s="147">
        <f t="shared" si="9"/>
        <v>0.11127781945486381</v>
      </c>
      <c r="K60" s="146">
        <v>3603</v>
      </c>
      <c r="L60" s="147">
        <f t="shared" si="9"/>
        <v>-0.1892439243924392</v>
      </c>
      <c r="M60" s="146">
        <v>3570</v>
      </c>
      <c r="N60" s="147">
        <f t="shared" si="8"/>
        <v>-9.1590341382181695E-3</v>
      </c>
    </row>
    <row r="61" spans="1:15" x14ac:dyDescent="0.25">
      <c r="A61" s="1">
        <v>9</v>
      </c>
      <c r="B61" s="145" t="s">
        <v>89</v>
      </c>
      <c r="C61" s="146">
        <v>1767</v>
      </c>
      <c r="D61" s="147">
        <v>-0.38921534739025232</v>
      </c>
      <c r="E61" s="146">
        <v>3457</v>
      </c>
      <c r="F61" s="147">
        <f t="shared" si="9"/>
        <v>0.95642331635540456</v>
      </c>
      <c r="G61" s="146">
        <v>3921</v>
      </c>
      <c r="H61" s="147">
        <f t="shared" si="9"/>
        <v>0.13422042233150133</v>
      </c>
      <c r="I61" s="146">
        <v>4892</v>
      </c>
      <c r="J61" s="147">
        <f t="shared" si="9"/>
        <v>0.24764090793165017</v>
      </c>
      <c r="K61" s="146">
        <v>4736</v>
      </c>
      <c r="L61" s="147">
        <f t="shared" si="9"/>
        <v>-3.1888798037612465E-2</v>
      </c>
      <c r="M61" s="146">
        <v>4766</v>
      </c>
      <c r="N61" s="147">
        <f t="shared" si="8"/>
        <v>6.3344594594594295E-3</v>
      </c>
    </row>
    <row r="62" spans="1:15" x14ac:dyDescent="0.25">
      <c r="A62" s="1">
        <v>10</v>
      </c>
      <c r="B62" s="145" t="s">
        <v>91</v>
      </c>
      <c r="C62" s="146">
        <v>1904</v>
      </c>
      <c r="D62" s="147">
        <v>-0.33888888888888891</v>
      </c>
      <c r="E62" s="146">
        <v>1744</v>
      </c>
      <c r="F62" s="147">
        <f t="shared" si="9"/>
        <v>-8.4033613445378186E-2</v>
      </c>
      <c r="G62" s="146">
        <v>3593</v>
      </c>
      <c r="H62" s="147">
        <f t="shared" si="9"/>
        <v>1.0602064220183487</v>
      </c>
      <c r="I62" s="146">
        <v>4470</v>
      </c>
      <c r="J62" s="147">
        <f t="shared" si="9"/>
        <v>0.24408572223768443</v>
      </c>
      <c r="K62" s="146">
        <v>4427</v>
      </c>
      <c r="L62" s="147">
        <f t="shared" si="9"/>
        <v>-9.6196868008948666E-3</v>
      </c>
      <c r="M62" s="146">
        <v>4745</v>
      </c>
      <c r="N62" s="147">
        <f t="shared" si="8"/>
        <v>7.1831940365936209E-2</v>
      </c>
    </row>
    <row r="63" spans="1:15" x14ac:dyDescent="0.25">
      <c r="A63" s="1">
        <v>11</v>
      </c>
      <c r="B63" s="145" t="s">
        <v>93</v>
      </c>
      <c r="C63" s="146">
        <v>1069</v>
      </c>
      <c r="D63" s="147">
        <v>-0.67438318611026493</v>
      </c>
      <c r="E63" s="146">
        <v>2739</v>
      </c>
      <c r="F63" s="147">
        <f t="shared" si="9"/>
        <v>1.5622076707202992</v>
      </c>
      <c r="G63" s="146">
        <v>3349</v>
      </c>
      <c r="H63" s="147">
        <f t="shared" si="9"/>
        <v>0.22270901788974085</v>
      </c>
      <c r="I63" s="146">
        <v>3373</v>
      </c>
      <c r="J63" s="147">
        <f t="shared" si="9"/>
        <v>7.1663183039714085E-3</v>
      </c>
      <c r="K63" s="146">
        <v>4221</v>
      </c>
      <c r="L63" s="147">
        <f t="shared" si="9"/>
        <v>0.25140824192113853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681</v>
      </c>
      <c r="D64" s="147">
        <v>-0.7561761546723953</v>
      </c>
      <c r="E64" s="146">
        <v>3189</v>
      </c>
      <c r="F64" s="147">
        <f t="shared" si="9"/>
        <v>3.6828193832599121</v>
      </c>
      <c r="G64" s="146">
        <v>3121</v>
      </c>
      <c r="H64" s="147">
        <f t="shared" si="9"/>
        <v>-2.1323298839761695E-2</v>
      </c>
      <c r="I64" s="146">
        <v>2886</v>
      </c>
      <c r="J64" s="147">
        <f t="shared" si="9"/>
        <v>-7.5296379365587973E-2</v>
      </c>
      <c r="K64" s="146">
        <v>3709</v>
      </c>
      <c r="L64" s="147">
        <f t="shared" si="9"/>
        <v>0.28516978516978519</v>
      </c>
      <c r="M64" s="146"/>
      <c r="N64" s="147"/>
    </row>
    <row r="65" spans="1:15" ht="15.75" x14ac:dyDescent="0.25">
      <c r="B65" s="148" t="s">
        <v>32</v>
      </c>
      <c r="C65" s="149">
        <v>16251</v>
      </c>
      <c r="D65" s="150">
        <v>-0.59300257957875235</v>
      </c>
      <c r="E65" s="149">
        <v>22026</v>
      </c>
      <c r="F65" s="150">
        <f t="shared" si="9"/>
        <v>0.35536274690788261</v>
      </c>
      <c r="G65" s="149">
        <v>40723</v>
      </c>
      <c r="H65" s="150">
        <f t="shared" si="9"/>
        <v>0.8488604376645783</v>
      </c>
      <c r="I65" s="149">
        <v>52826</v>
      </c>
      <c r="J65" s="150">
        <f t="shared" si="9"/>
        <v>0.29720305478476527</v>
      </c>
      <c r="K65" s="149">
        <v>49415</v>
      </c>
      <c r="L65" s="150">
        <f t="shared" si="9"/>
        <v>-6.4570476659220888E-2</v>
      </c>
      <c r="M65" s="149">
        <v>40462</v>
      </c>
      <c r="N65" s="150">
        <v>-2.4659515487525652E-2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1:15" x14ac:dyDescent="0.25">
      <c r="C68" s="151"/>
      <c r="K68" s="151"/>
      <c r="N68" s="103"/>
    </row>
    <row r="70" spans="1:15" ht="48.75" customHeight="1" thickBot="1" x14ac:dyDescent="0.3">
      <c r="B70" s="12" t="s">
        <v>279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105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$C$7</f>
        <v>2020</v>
      </c>
      <c r="D73" s="139"/>
      <c r="E73" s="140">
        <f>$E$7</f>
        <v>2021</v>
      </c>
      <c r="F73" s="139"/>
      <c r="G73" s="140">
        <f>$G$7</f>
        <v>2022</v>
      </c>
      <c r="H73" s="139"/>
      <c r="I73" s="140">
        <f>$I$7</f>
        <v>2023</v>
      </c>
      <c r="J73" s="139"/>
      <c r="K73" s="140">
        <f>$K$7</f>
        <v>2024</v>
      </c>
      <c r="L73" s="139"/>
      <c r="M73" s="140">
        <f>$M$7</f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CONCATENATE("var. ",RIGHT(C73,2),"/",RIGHT(C73-1,2))</f>
        <v>var. 20/19</v>
      </c>
      <c r="E74" s="144" t="s">
        <v>71</v>
      </c>
      <c r="F74" s="143" t="s">
        <v>252</v>
      </c>
      <c r="G74" s="144" t="s">
        <v>71</v>
      </c>
      <c r="H74" s="143" t="s">
        <v>252</v>
      </c>
      <c r="I74" s="144" t="s">
        <v>71</v>
      </c>
      <c r="J74" s="143" t="s">
        <v>252</v>
      </c>
      <c r="K74" s="144" t="s">
        <v>71</v>
      </c>
      <c r="L74" s="143" t="s">
        <v>252</v>
      </c>
      <c r="M74" s="144" t="s">
        <v>71</v>
      </c>
      <c r="N74" s="143" t="s">
        <v>277</v>
      </c>
    </row>
    <row r="75" spans="1:15" x14ac:dyDescent="0.25">
      <c r="A75" s="1">
        <v>1</v>
      </c>
      <c r="B75" s="145" t="s">
        <v>73</v>
      </c>
      <c r="C75" s="146">
        <v>2841</v>
      </c>
      <c r="D75" s="147">
        <v>0.18572621035058434</v>
      </c>
      <c r="E75" s="146">
        <v>543</v>
      </c>
      <c r="F75" s="147">
        <f>IFERROR(E75/C75-1,"-")</f>
        <v>-0.80887011615628301</v>
      </c>
      <c r="G75" s="146">
        <v>2071</v>
      </c>
      <c r="H75" s="147">
        <f>IFERROR(G75/E75-1,"-")</f>
        <v>2.8139963167587476</v>
      </c>
      <c r="I75" s="146">
        <v>2249</v>
      </c>
      <c r="J75" s="147">
        <f>IFERROR(I75/G75-1,"-")</f>
        <v>8.5948816996620048E-2</v>
      </c>
      <c r="K75" s="146">
        <v>1215</v>
      </c>
      <c r="L75" s="147">
        <f>IFERROR(K75/I75-1,"-")</f>
        <v>-0.45975989328590483</v>
      </c>
      <c r="M75" s="146">
        <v>1366</v>
      </c>
      <c r="N75" s="147">
        <f t="shared" ref="N75:N84" si="10">IFERROR(M75/K75-1,"-")</f>
        <v>0.12427983539094645</v>
      </c>
    </row>
    <row r="76" spans="1:15" x14ac:dyDescent="0.25">
      <c r="A76" s="1">
        <v>2</v>
      </c>
      <c r="B76" s="145" t="s">
        <v>75</v>
      </c>
      <c r="C76" s="146">
        <v>2546</v>
      </c>
      <c r="D76" s="147">
        <v>0.10407632263660016</v>
      </c>
      <c r="E76" s="146">
        <v>721</v>
      </c>
      <c r="F76" s="147">
        <f t="shared" ref="F76:L87" si="11">IFERROR(E76/C76-1,"-")</f>
        <v>-0.71681068342498033</v>
      </c>
      <c r="G76" s="146">
        <v>1841</v>
      </c>
      <c r="H76" s="147">
        <f t="shared" si="11"/>
        <v>1.5533980582524274</v>
      </c>
      <c r="I76" s="146">
        <v>748</v>
      </c>
      <c r="J76" s="147">
        <f t="shared" si="11"/>
        <v>-0.59369907658881038</v>
      </c>
      <c r="K76" s="146">
        <v>1249</v>
      </c>
      <c r="L76" s="147">
        <f t="shared" si="11"/>
        <v>0.66978609625668439</v>
      </c>
      <c r="M76" s="146">
        <v>1322</v>
      </c>
      <c r="N76" s="147">
        <f t="shared" si="10"/>
        <v>5.8446757405924643E-2</v>
      </c>
    </row>
    <row r="77" spans="1:15" x14ac:dyDescent="0.25">
      <c r="A77" s="1">
        <v>3</v>
      </c>
      <c r="B77" s="145" t="s">
        <v>77</v>
      </c>
      <c r="C77" s="146">
        <v>1038</v>
      </c>
      <c r="D77" s="147">
        <v>-0.54908774978279751</v>
      </c>
      <c r="E77" s="146">
        <v>1575</v>
      </c>
      <c r="F77" s="147">
        <f t="shared" si="11"/>
        <v>0.51734104046242768</v>
      </c>
      <c r="G77" s="146">
        <v>2794</v>
      </c>
      <c r="H77" s="147">
        <f t="shared" si="11"/>
        <v>0.77396825396825397</v>
      </c>
      <c r="I77" s="146">
        <v>1106</v>
      </c>
      <c r="J77" s="147">
        <f t="shared" si="11"/>
        <v>-0.60415175375805297</v>
      </c>
      <c r="K77" s="146">
        <v>1224</v>
      </c>
      <c r="L77" s="147">
        <f t="shared" si="11"/>
        <v>0.10669077757685352</v>
      </c>
      <c r="M77" s="146">
        <v>1260</v>
      </c>
      <c r="N77" s="147">
        <f t="shared" si="10"/>
        <v>2.9411764705882248E-2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901</v>
      </c>
      <c r="F78" s="147" t="str">
        <f t="shared" si="11"/>
        <v>-</v>
      </c>
      <c r="G78" s="146">
        <v>2457</v>
      </c>
      <c r="H78" s="147">
        <f t="shared" si="11"/>
        <v>1.7269700332963374</v>
      </c>
      <c r="I78" s="146">
        <v>1949</v>
      </c>
      <c r="J78" s="147">
        <f t="shared" si="11"/>
        <v>-0.20675620675620676</v>
      </c>
      <c r="K78" s="146">
        <v>1108</v>
      </c>
      <c r="L78" s="147">
        <f t="shared" si="11"/>
        <v>-0.43150333504361216</v>
      </c>
      <c r="M78" s="146">
        <v>1331</v>
      </c>
      <c r="N78" s="147">
        <f t="shared" si="10"/>
        <v>0.20126353790613716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1900</v>
      </c>
      <c r="F79" s="147" t="str">
        <f t="shared" si="11"/>
        <v>-</v>
      </c>
      <c r="G79" s="146">
        <v>1685</v>
      </c>
      <c r="H79" s="147">
        <f t="shared" si="11"/>
        <v>-0.11315789473684212</v>
      </c>
      <c r="I79" s="146">
        <v>2115</v>
      </c>
      <c r="J79" s="147">
        <f t="shared" si="11"/>
        <v>0.25519287833827886</v>
      </c>
      <c r="K79" s="146">
        <v>2258</v>
      </c>
      <c r="L79" s="147">
        <f t="shared" si="11"/>
        <v>6.7612293144208024E-2</v>
      </c>
      <c r="M79" s="146">
        <v>3166</v>
      </c>
      <c r="N79" s="147">
        <f t="shared" si="10"/>
        <v>0.40212577502214342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1771</v>
      </c>
      <c r="F80" s="147" t="str">
        <f t="shared" si="11"/>
        <v>-</v>
      </c>
      <c r="G80" s="146">
        <v>4228</v>
      </c>
      <c r="H80" s="147">
        <f t="shared" si="11"/>
        <v>1.3873517786561265</v>
      </c>
      <c r="I80" s="146">
        <v>1166</v>
      </c>
      <c r="J80" s="147">
        <f t="shared" si="11"/>
        <v>-0.72421948912015144</v>
      </c>
      <c r="K80" s="146">
        <v>1164</v>
      </c>
      <c r="L80" s="147">
        <f t="shared" si="11"/>
        <v>-1.7152658662092923E-3</v>
      </c>
      <c r="M80" s="146">
        <v>3102</v>
      </c>
      <c r="N80" s="147">
        <f t="shared" si="10"/>
        <v>1.6649484536082473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1191</v>
      </c>
      <c r="F81" s="147" t="str">
        <f t="shared" si="11"/>
        <v>-</v>
      </c>
      <c r="G81" s="146">
        <v>2851</v>
      </c>
      <c r="H81" s="147">
        <f t="shared" si="11"/>
        <v>1.3937867338371115</v>
      </c>
      <c r="I81" s="146">
        <v>2003</v>
      </c>
      <c r="J81" s="147">
        <f t="shared" si="11"/>
        <v>-0.29743949491406529</v>
      </c>
      <c r="K81" s="146">
        <v>2667</v>
      </c>
      <c r="L81" s="147">
        <f t="shared" si="11"/>
        <v>0.33150274588117834</v>
      </c>
      <c r="M81" s="146">
        <v>2062</v>
      </c>
      <c r="N81" s="147">
        <f t="shared" si="10"/>
        <v>-0.22684664416947886</v>
      </c>
    </row>
    <row r="82" spans="1:15" x14ac:dyDescent="0.25">
      <c r="A82" s="1">
        <v>8</v>
      </c>
      <c r="B82" s="145" t="s">
        <v>87</v>
      </c>
      <c r="C82" s="146">
        <v>2303</v>
      </c>
      <c r="D82" s="147">
        <v>-0.20200970200970203</v>
      </c>
      <c r="E82" s="146">
        <v>1356</v>
      </c>
      <c r="F82" s="147">
        <f t="shared" si="11"/>
        <v>-0.41120277898393398</v>
      </c>
      <c r="G82" s="146">
        <v>2044</v>
      </c>
      <c r="H82" s="147">
        <f t="shared" si="11"/>
        <v>0.50737463126843663</v>
      </c>
      <c r="I82" s="146">
        <v>2706</v>
      </c>
      <c r="J82" s="147">
        <f t="shared" si="11"/>
        <v>0.3238747553816046</v>
      </c>
      <c r="K82" s="146">
        <v>1092</v>
      </c>
      <c r="L82" s="147">
        <f t="shared" si="11"/>
        <v>-0.59645232815964522</v>
      </c>
      <c r="M82" s="146">
        <v>3661</v>
      </c>
      <c r="N82" s="147">
        <f t="shared" si="10"/>
        <v>2.3525641025641026</v>
      </c>
    </row>
    <row r="83" spans="1:15" x14ac:dyDescent="0.25">
      <c r="A83" s="1">
        <v>9</v>
      </c>
      <c r="B83" s="145" t="s">
        <v>89</v>
      </c>
      <c r="C83" s="146">
        <v>1308</v>
      </c>
      <c r="D83" s="147">
        <v>-0.4340112505408914</v>
      </c>
      <c r="E83" s="146">
        <v>3089</v>
      </c>
      <c r="F83" s="147">
        <f t="shared" si="11"/>
        <v>1.3616207951070338</v>
      </c>
      <c r="G83" s="146">
        <v>2812</v>
      </c>
      <c r="H83" s="147">
        <f t="shared" si="11"/>
        <v>-8.9673033344124353E-2</v>
      </c>
      <c r="I83" s="146">
        <v>1528</v>
      </c>
      <c r="J83" s="147">
        <f t="shared" si="11"/>
        <v>-0.45661450924608815</v>
      </c>
      <c r="K83" s="146">
        <v>2671</v>
      </c>
      <c r="L83" s="147">
        <f t="shared" si="11"/>
        <v>0.74803664921465973</v>
      </c>
      <c r="M83" s="146">
        <v>1808</v>
      </c>
      <c r="N83" s="147">
        <f t="shared" si="10"/>
        <v>-0.32309996256083862</v>
      </c>
    </row>
    <row r="84" spans="1:15" x14ac:dyDescent="0.25">
      <c r="A84" s="1">
        <v>10</v>
      </c>
      <c r="B84" s="145" t="s">
        <v>91</v>
      </c>
      <c r="C84" s="146">
        <v>874</v>
      </c>
      <c r="D84" s="147">
        <v>-0.71419228253760636</v>
      </c>
      <c r="E84" s="146">
        <v>2179</v>
      </c>
      <c r="F84" s="147">
        <f t="shared" si="11"/>
        <v>1.4931350114416477</v>
      </c>
      <c r="G84" s="146">
        <v>1877</v>
      </c>
      <c r="H84" s="147">
        <f t="shared" si="11"/>
        <v>-0.13859568609453876</v>
      </c>
      <c r="I84" s="146">
        <v>1047</v>
      </c>
      <c r="J84" s="147">
        <f t="shared" si="11"/>
        <v>-0.44219499200852419</v>
      </c>
      <c r="K84" s="146">
        <v>1307</v>
      </c>
      <c r="L84" s="147">
        <f t="shared" si="11"/>
        <v>0.2483285577841452</v>
      </c>
      <c r="M84" s="146">
        <v>2970</v>
      </c>
      <c r="N84" s="147">
        <f t="shared" si="10"/>
        <v>1.2723794950267791</v>
      </c>
    </row>
    <row r="85" spans="1:15" x14ac:dyDescent="0.25">
      <c r="A85" s="1">
        <v>11</v>
      </c>
      <c r="B85" s="145" t="s">
        <v>93</v>
      </c>
      <c r="C85" s="146">
        <v>1374</v>
      </c>
      <c r="D85" s="147">
        <v>-0.58489425981873111</v>
      </c>
      <c r="E85" s="146">
        <v>2323</v>
      </c>
      <c r="F85" s="147">
        <f t="shared" si="11"/>
        <v>0.69068413391557493</v>
      </c>
      <c r="G85" s="146">
        <v>2569</v>
      </c>
      <c r="H85" s="147">
        <f t="shared" si="11"/>
        <v>0.10589754627636672</v>
      </c>
      <c r="I85" s="146">
        <v>1075</v>
      </c>
      <c r="J85" s="147">
        <f t="shared" si="11"/>
        <v>-0.58154924094978588</v>
      </c>
      <c r="K85" s="146">
        <v>3117</v>
      </c>
      <c r="L85" s="147">
        <f t="shared" si="11"/>
        <v>1.8995348837209303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1793</v>
      </c>
      <c r="D86" s="147">
        <v>-0.56406515925115486</v>
      </c>
      <c r="E86" s="146">
        <v>2488</v>
      </c>
      <c r="F86" s="147">
        <f t="shared" si="11"/>
        <v>0.38761851645287226</v>
      </c>
      <c r="G86" s="146">
        <v>2999</v>
      </c>
      <c r="H86" s="147">
        <f t="shared" si="11"/>
        <v>0.20538585209003224</v>
      </c>
      <c r="I86" s="146">
        <v>1914</v>
      </c>
      <c r="J86" s="147">
        <f t="shared" si="11"/>
        <v>-0.36178726242080694</v>
      </c>
      <c r="K86" s="146">
        <v>2574</v>
      </c>
      <c r="L86" s="147">
        <f t="shared" si="11"/>
        <v>0.34482758620689657</v>
      </c>
      <c r="M86" s="146"/>
      <c r="N86" s="147"/>
    </row>
    <row r="87" spans="1:15" ht="15.75" x14ac:dyDescent="0.25">
      <c r="B87" s="148" t="s">
        <v>32</v>
      </c>
      <c r="C87" s="149">
        <v>15549</v>
      </c>
      <c r="D87" s="150">
        <v>-0.5288610126352149</v>
      </c>
      <c r="E87" s="149">
        <v>20037</v>
      </c>
      <c r="F87" s="150">
        <f t="shared" si="11"/>
        <v>0.28863592513988046</v>
      </c>
      <c r="G87" s="149">
        <v>30228</v>
      </c>
      <c r="H87" s="150">
        <f t="shared" si="11"/>
        <v>0.50860907321455318</v>
      </c>
      <c r="I87" s="149">
        <v>19606</v>
      </c>
      <c r="J87" s="150">
        <f t="shared" si="11"/>
        <v>-0.3513960566362313</v>
      </c>
      <c r="K87" s="149">
        <v>21646</v>
      </c>
      <c r="L87" s="150">
        <f t="shared" si="11"/>
        <v>0.10404978067938386</v>
      </c>
      <c r="M87" s="149">
        <v>22048</v>
      </c>
      <c r="N87" s="150">
        <v>0.38188655593857734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0" spans="1:15" x14ac:dyDescent="0.25">
      <c r="C90" s="151"/>
      <c r="K90" s="151"/>
      <c r="N90" s="103"/>
    </row>
    <row r="92" spans="1:15" ht="48.75" customHeight="1" thickBot="1" x14ac:dyDescent="0.3">
      <c r="B92" s="12" t="s">
        <v>280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107</v>
      </c>
    </row>
    <row r="94" spans="1:15" ht="22.5" thickTop="1" thickBot="1" x14ac:dyDescent="0.3">
      <c r="B94" s="152" t="s">
        <v>108</v>
      </c>
      <c r="C94" s="135" t="s">
        <v>109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$C$7</f>
        <v>2020</v>
      </c>
      <c r="D95" s="139"/>
      <c r="E95" s="140">
        <f>$E$7</f>
        <v>2021</v>
      </c>
      <c r="F95" s="139"/>
      <c r="G95" s="140">
        <f>$G$7</f>
        <v>2022</v>
      </c>
      <c r="H95" s="139"/>
      <c r="I95" s="140">
        <f>$I$7</f>
        <v>2023</v>
      </c>
      <c r="J95" s="139"/>
      <c r="K95" s="140">
        <f>$K$7</f>
        <v>2024</v>
      </c>
      <c r="L95" s="139"/>
      <c r="M95" s="140">
        <f>$M$7</f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CONCATENATE("var. ",RIGHT(C95,2),"/",RIGHT(C95-1,2))</f>
        <v>var. 20/19</v>
      </c>
      <c r="E96" s="144" t="s">
        <v>71</v>
      </c>
      <c r="F96" s="143" t="s">
        <v>252</v>
      </c>
      <c r="G96" s="144" t="s">
        <v>71</v>
      </c>
      <c r="H96" s="143" t="s">
        <v>252</v>
      </c>
      <c r="I96" s="144" t="s">
        <v>71</v>
      </c>
      <c r="J96" s="143" t="s">
        <v>252</v>
      </c>
      <c r="K96" s="144" t="s">
        <v>71</v>
      </c>
      <c r="L96" s="143" t="s">
        <v>252</v>
      </c>
      <c r="M96" s="144" t="s">
        <v>71</v>
      </c>
      <c r="N96" s="143" t="s">
        <v>277</v>
      </c>
    </row>
    <row r="97" spans="2:14" x14ac:dyDescent="0.25">
      <c r="B97" s="145" t="s">
        <v>73</v>
      </c>
      <c r="C97" s="146">
        <v>7778</v>
      </c>
      <c r="D97" s="147">
        <v>8.132906992909783E-2</v>
      </c>
      <c r="E97" s="146">
        <v>1648</v>
      </c>
      <c r="F97" s="147">
        <f t="shared" ref="F97:L109" si="12">IFERROR(E97/C97-1,"-")</f>
        <v>-0.78812033941887372</v>
      </c>
      <c r="G97" s="146">
        <v>6519</v>
      </c>
      <c r="H97" s="147">
        <f t="shared" si="12"/>
        <v>2.9557038834951457</v>
      </c>
      <c r="I97" s="146">
        <v>8713</v>
      </c>
      <c r="J97" s="147">
        <f t="shared" si="12"/>
        <v>0.33655468630158003</v>
      </c>
      <c r="K97" s="146">
        <v>10751</v>
      </c>
      <c r="L97" s="147">
        <f t="shared" si="12"/>
        <v>0.23390336279123147</v>
      </c>
      <c r="M97" s="146">
        <v>9438</v>
      </c>
      <c r="N97" s="147">
        <f t="shared" ref="N97:N106" si="13">IFERROR(M97/K97-1,"-")</f>
        <v>-0.12212817412333732</v>
      </c>
    </row>
    <row r="98" spans="2:14" x14ac:dyDescent="0.25">
      <c r="B98" s="145" t="s">
        <v>75</v>
      </c>
      <c r="C98" s="146">
        <v>8971</v>
      </c>
      <c r="D98" s="147">
        <v>0.12771841609050916</v>
      </c>
      <c r="E98" s="146">
        <v>1772</v>
      </c>
      <c r="F98" s="147">
        <f t="shared" si="12"/>
        <v>-0.80247464050830453</v>
      </c>
      <c r="G98" s="146">
        <v>6908</v>
      </c>
      <c r="H98" s="147">
        <f t="shared" si="12"/>
        <v>2.8984198645598194</v>
      </c>
      <c r="I98" s="146">
        <v>8514</v>
      </c>
      <c r="J98" s="147">
        <f t="shared" si="12"/>
        <v>0.23248407643312108</v>
      </c>
      <c r="K98" s="146">
        <v>10155</v>
      </c>
      <c r="L98" s="147">
        <f t="shared" si="12"/>
        <v>0.19274136715997181</v>
      </c>
      <c r="M98" s="146">
        <v>9264</v>
      </c>
      <c r="N98" s="147">
        <f t="shared" si="13"/>
        <v>-8.7740029542097475E-2</v>
      </c>
    </row>
    <row r="99" spans="2:14" x14ac:dyDescent="0.25">
      <c r="B99" s="145" t="s">
        <v>77</v>
      </c>
      <c r="C99" s="146">
        <v>3532</v>
      </c>
      <c r="D99" s="147">
        <v>-0.57599039615846337</v>
      </c>
      <c r="E99" s="146">
        <v>2477</v>
      </c>
      <c r="F99" s="147">
        <f t="shared" si="12"/>
        <v>-0.29869762174405434</v>
      </c>
      <c r="G99" s="146">
        <v>7271</v>
      </c>
      <c r="H99" s="147">
        <f t="shared" si="12"/>
        <v>1.9354057327412191</v>
      </c>
      <c r="I99" s="146">
        <v>9155</v>
      </c>
      <c r="J99" s="147">
        <f t="shared" si="12"/>
        <v>0.25911153899051032</v>
      </c>
      <c r="K99" s="146">
        <v>10079</v>
      </c>
      <c r="L99" s="147">
        <f t="shared" si="12"/>
        <v>0.10092845439650455</v>
      </c>
      <c r="M99" s="146">
        <v>9265</v>
      </c>
      <c r="N99" s="147">
        <f t="shared" si="13"/>
        <v>-8.0761980355193996E-2</v>
      </c>
    </row>
    <row r="100" spans="2:14" x14ac:dyDescent="0.25">
      <c r="B100" s="145" t="s">
        <v>79</v>
      </c>
      <c r="C100" s="146">
        <v>0</v>
      </c>
      <c r="D100" s="147">
        <v>-1</v>
      </c>
      <c r="E100" s="146">
        <v>2226</v>
      </c>
      <c r="F100" s="147" t="str">
        <f t="shared" si="12"/>
        <v>-</v>
      </c>
      <c r="G100" s="146">
        <v>6256</v>
      </c>
      <c r="H100" s="147">
        <f t="shared" si="12"/>
        <v>1.8104222821203955</v>
      </c>
      <c r="I100" s="146">
        <v>6472</v>
      </c>
      <c r="J100" s="147">
        <f t="shared" si="12"/>
        <v>3.4526854219948833E-2</v>
      </c>
      <c r="K100" s="146">
        <v>7484</v>
      </c>
      <c r="L100" s="147">
        <f t="shared" si="12"/>
        <v>0.15636588380716931</v>
      </c>
      <c r="M100" s="146">
        <v>5830</v>
      </c>
      <c r="N100" s="147">
        <f t="shared" si="13"/>
        <v>-0.221004810261892</v>
      </c>
    </row>
    <row r="101" spans="2:14" x14ac:dyDescent="0.25">
      <c r="B101" s="145" t="s">
        <v>81</v>
      </c>
      <c r="C101" s="146">
        <v>0</v>
      </c>
      <c r="D101" s="147">
        <v>-1</v>
      </c>
      <c r="E101" s="146">
        <v>2446</v>
      </c>
      <c r="F101" s="147" t="str">
        <f t="shared" si="12"/>
        <v>-</v>
      </c>
      <c r="G101" s="146">
        <v>4867</v>
      </c>
      <c r="H101" s="147">
        <f t="shared" si="12"/>
        <v>0.98977923139820123</v>
      </c>
      <c r="I101" s="146">
        <v>5606</v>
      </c>
      <c r="J101" s="147">
        <f t="shared" si="12"/>
        <v>0.15183891514279835</v>
      </c>
      <c r="K101" s="146">
        <v>5778</v>
      </c>
      <c r="L101" s="147">
        <f t="shared" si="12"/>
        <v>3.068141277203007E-2</v>
      </c>
      <c r="M101" s="146">
        <v>5883</v>
      </c>
      <c r="N101" s="147">
        <f t="shared" si="13"/>
        <v>1.8172377985462118E-2</v>
      </c>
    </row>
    <row r="102" spans="2:14" x14ac:dyDescent="0.25">
      <c r="B102" s="145" t="s">
        <v>83</v>
      </c>
      <c r="C102" s="146">
        <v>0</v>
      </c>
      <c r="D102" s="147">
        <v>-1</v>
      </c>
      <c r="E102" s="146">
        <v>2238</v>
      </c>
      <c r="F102" s="147" t="str">
        <f t="shared" si="12"/>
        <v>-</v>
      </c>
      <c r="G102" s="146">
        <v>3323</v>
      </c>
      <c r="H102" s="147">
        <f t="shared" si="12"/>
        <v>0.48480786416443244</v>
      </c>
      <c r="I102" s="146">
        <v>3827</v>
      </c>
      <c r="J102" s="147">
        <f t="shared" si="12"/>
        <v>0.15167017755040635</v>
      </c>
      <c r="K102" s="146">
        <v>3968</v>
      </c>
      <c r="L102" s="147">
        <f t="shared" si="12"/>
        <v>3.684348053305464E-2</v>
      </c>
      <c r="M102" s="146">
        <v>4239</v>
      </c>
      <c r="N102" s="147">
        <f t="shared" si="13"/>
        <v>6.8296370967741993E-2</v>
      </c>
    </row>
    <row r="103" spans="2:14" x14ac:dyDescent="0.25">
      <c r="B103" s="145" t="s">
        <v>85</v>
      </c>
      <c r="C103" s="146">
        <v>0</v>
      </c>
      <c r="D103" s="147">
        <v>-1</v>
      </c>
      <c r="E103" s="146">
        <v>2500</v>
      </c>
      <c r="F103" s="147" t="str">
        <f t="shared" si="12"/>
        <v>-</v>
      </c>
      <c r="G103" s="146">
        <v>3947</v>
      </c>
      <c r="H103" s="147">
        <f t="shared" si="12"/>
        <v>0.57879999999999998</v>
      </c>
      <c r="I103" s="146">
        <v>3286</v>
      </c>
      <c r="J103" s="147">
        <f t="shared" si="12"/>
        <v>-0.16746896376995191</v>
      </c>
      <c r="K103" s="146">
        <v>3399</v>
      </c>
      <c r="L103" s="147">
        <f t="shared" si="12"/>
        <v>3.438831405964704E-2</v>
      </c>
      <c r="M103" s="146">
        <v>3594</v>
      </c>
      <c r="N103" s="147">
        <f t="shared" si="13"/>
        <v>5.7369814651368145E-2</v>
      </c>
    </row>
    <row r="104" spans="2:14" x14ac:dyDescent="0.25">
      <c r="B104" s="145" t="s">
        <v>87</v>
      </c>
      <c r="C104" s="146">
        <v>1922</v>
      </c>
      <c r="D104" s="147">
        <v>-0.33124565066109957</v>
      </c>
      <c r="E104" s="146">
        <v>4135</v>
      </c>
      <c r="F104" s="147">
        <f t="shared" si="12"/>
        <v>1.151404786680541</v>
      </c>
      <c r="G104" s="146">
        <v>4227</v>
      </c>
      <c r="H104" s="147">
        <f t="shared" si="12"/>
        <v>2.2249093107617801E-2</v>
      </c>
      <c r="I104" s="146">
        <v>4721</v>
      </c>
      <c r="J104" s="147">
        <f t="shared" si="12"/>
        <v>0.11686775490891876</v>
      </c>
      <c r="K104" s="146">
        <v>4564</v>
      </c>
      <c r="L104" s="147">
        <f t="shared" si="12"/>
        <v>-3.325566617242115E-2</v>
      </c>
      <c r="M104" s="146">
        <v>4530</v>
      </c>
      <c r="N104" s="147">
        <f t="shared" si="13"/>
        <v>-7.4496056091147844E-3</v>
      </c>
    </row>
    <row r="105" spans="2:14" x14ac:dyDescent="0.25">
      <c r="B105" s="145" t="s">
        <v>89</v>
      </c>
      <c r="C105" s="146">
        <v>692</v>
      </c>
      <c r="D105" s="147">
        <v>-0.75276884601643446</v>
      </c>
      <c r="E105" s="146">
        <v>3054</v>
      </c>
      <c r="F105" s="147">
        <f t="shared" si="12"/>
        <v>3.4132947976878611</v>
      </c>
      <c r="G105" s="146">
        <v>4234</v>
      </c>
      <c r="H105" s="147">
        <f t="shared" si="12"/>
        <v>0.38637851997380479</v>
      </c>
      <c r="I105" s="146">
        <v>4186</v>
      </c>
      <c r="J105" s="147">
        <f t="shared" si="12"/>
        <v>-1.1336797354747241E-2</v>
      </c>
      <c r="K105" s="146">
        <v>3938</v>
      </c>
      <c r="L105" s="147">
        <f t="shared" si="12"/>
        <v>-5.9245102723363585E-2</v>
      </c>
      <c r="M105" s="146">
        <v>4328</v>
      </c>
      <c r="N105" s="147">
        <f t="shared" si="13"/>
        <v>9.9035043169121373E-2</v>
      </c>
    </row>
    <row r="106" spans="2:14" x14ac:dyDescent="0.25">
      <c r="B106" s="145" t="s">
        <v>91</v>
      </c>
      <c r="C106" s="146">
        <v>825</v>
      </c>
      <c r="D106" s="147">
        <v>-0.82439335887611753</v>
      </c>
      <c r="E106" s="146">
        <v>6196</v>
      </c>
      <c r="F106" s="147">
        <f t="shared" si="12"/>
        <v>6.5103030303030307</v>
      </c>
      <c r="G106" s="146">
        <v>6125</v>
      </c>
      <c r="H106" s="147">
        <f t="shared" si="12"/>
        <v>-1.1459005810200096E-2</v>
      </c>
      <c r="I106" s="146">
        <v>5590</v>
      </c>
      <c r="J106" s="147">
        <f t="shared" si="12"/>
        <v>-8.7346938775510252E-2</v>
      </c>
      <c r="K106" s="146">
        <v>6453</v>
      </c>
      <c r="L106" s="147">
        <f t="shared" si="12"/>
        <v>0.15438282647584978</v>
      </c>
      <c r="M106" s="146">
        <v>6718</v>
      </c>
      <c r="N106" s="147">
        <f t="shared" si="13"/>
        <v>4.1066170773283783E-2</v>
      </c>
    </row>
    <row r="107" spans="2:14" x14ac:dyDescent="0.25">
      <c r="B107" s="145" t="s">
        <v>93</v>
      </c>
      <c r="C107" s="146">
        <v>1112</v>
      </c>
      <c r="D107" s="147">
        <v>-0.85308495177698507</v>
      </c>
      <c r="E107" s="146">
        <v>7124</v>
      </c>
      <c r="F107" s="147">
        <f t="shared" si="12"/>
        <v>5.4064748201438846</v>
      </c>
      <c r="G107" s="146">
        <v>7135</v>
      </c>
      <c r="H107" s="147">
        <f t="shared" si="12"/>
        <v>1.5440763615945929E-3</v>
      </c>
      <c r="I107" s="146">
        <v>8768</v>
      </c>
      <c r="J107" s="147">
        <f t="shared" si="12"/>
        <v>0.22887175893482836</v>
      </c>
      <c r="K107" s="146">
        <v>7634</v>
      </c>
      <c r="L107" s="147">
        <f t="shared" si="12"/>
        <v>-0.12933394160583944</v>
      </c>
      <c r="M107" s="146"/>
      <c r="N107" s="147"/>
    </row>
    <row r="108" spans="2:14" x14ac:dyDescent="0.25">
      <c r="B108" s="145" t="s">
        <v>95</v>
      </c>
      <c r="C108" s="146">
        <v>1575</v>
      </c>
      <c r="D108" s="147">
        <v>-0.74239450441609423</v>
      </c>
      <c r="E108" s="146">
        <v>5523</v>
      </c>
      <c r="F108" s="147">
        <f t="shared" si="12"/>
        <v>2.5066666666666668</v>
      </c>
      <c r="G108" s="146">
        <v>5994</v>
      </c>
      <c r="H108" s="147">
        <f t="shared" si="12"/>
        <v>8.5279739272134725E-2</v>
      </c>
      <c r="I108" s="146">
        <v>7064</v>
      </c>
      <c r="J108" s="147">
        <f t="shared" si="12"/>
        <v>0.17851184517851193</v>
      </c>
      <c r="K108" s="146">
        <v>7036</v>
      </c>
      <c r="L108" s="147">
        <f t="shared" si="12"/>
        <v>-3.9637599093997888E-3</v>
      </c>
      <c r="M108" s="146"/>
      <c r="N108" s="147"/>
    </row>
    <row r="109" spans="2:14" ht="15.75" x14ac:dyDescent="0.25">
      <c r="B109" s="148" t="s">
        <v>32</v>
      </c>
      <c r="C109" s="149">
        <v>27247</v>
      </c>
      <c r="D109" s="150">
        <v>-0.56883564895401462</v>
      </c>
      <c r="E109" s="149">
        <v>41339</v>
      </c>
      <c r="F109" s="150">
        <f t="shared" si="12"/>
        <v>0.51719455352882893</v>
      </c>
      <c r="G109" s="149">
        <v>66806</v>
      </c>
      <c r="H109" s="150">
        <f t="shared" si="12"/>
        <v>0.61605263794479792</v>
      </c>
      <c r="I109" s="149">
        <v>75902</v>
      </c>
      <c r="J109" s="150">
        <f t="shared" si="12"/>
        <v>0.13615543514055628</v>
      </c>
      <c r="K109" s="149">
        <v>81239</v>
      </c>
      <c r="L109" s="150">
        <f t="shared" si="12"/>
        <v>7.0314352717978368E-2</v>
      </c>
      <c r="M109" s="149">
        <v>63089</v>
      </c>
      <c r="N109" s="150">
        <v>-5.2276585197314041E-2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151"/>
      <c r="K112" s="151"/>
      <c r="N112" s="103"/>
    </row>
    <row r="114" spans="1:15" ht="48.75" customHeight="1" thickBot="1" x14ac:dyDescent="0.3">
      <c r="B114" s="12" t="s">
        <v>281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110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111</v>
      </c>
    </row>
    <row r="116" spans="1:15" ht="22.5" thickTop="1" thickBot="1" x14ac:dyDescent="0.3">
      <c r="B116" s="152" t="str">
        <f>C116</f>
        <v>Reino Unido</v>
      </c>
      <c r="C116" s="135" t="s">
        <v>112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f>$C$7</f>
        <v>2020</v>
      </c>
      <c r="D117" s="139"/>
      <c r="E117" s="140">
        <f>$E$7</f>
        <v>2021</v>
      </c>
      <c r="F117" s="139"/>
      <c r="G117" s="140">
        <f>$G$7</f>
        <v>2022</v>
      </c>
      <c r="H117" s="139"/>
      <c r="I117" s="140">
        <f>$I$7</f>
        <v>2023</v>
      </c>
      <c r="J117" s="139"/>
      <c r="K117" s="140">
        <f>$K$7</f>
        <v>2024</v>
      </c>
      <c r="L117" s="139"/>
      <c r="M117" s="140">
        <f>$M$7</f>
        <v>2025</v>
      </c>
      <c r="N117" s="141"/>
    </row>
    <row r="118" spans="1:15" ht="16.5" thickTop="1" thickBot="1" x14ac:dyDescent="0.3">
      <c r="B118" s="109"/>
      <c r="C118" s="142" t="s">
        <v>71</v>
      </c>
      <c r="D118" s="143" t="str">
        <f>CONCATENATE("var. ",RIGHT(C117,2),"/",RIGHT(C117-1,2))</f>
        <v>var. 20/19</v>
      </c>
      <c r="E118" s="144" t="s">
        <v>71</v>
      </c>
      <c r="F118" s="143" t="s">
        <v>252</v>
      </c>
      <c r="G118" s="144" t="s">
        <v>71</v>
      </c>
      <c r="H118" s="143" t="s">
        <v>252</v>
      </c>
      <c r="I118" s="144" t="s">
        <v>71</v>
      </c>
      <c r="J118" s="143" t="s">
        <v>252</v>
      </c>
      <c r="K118" s="144" t="s">
        <v>71</v>
      </c>
      <c r="L118" s="143" t="s">
        <v>252</v>
      </c>
      <c r="M118" s="144" t="s">
        <v>71</v>
      </c>
      <c r="N118" s="143" t="s">
        <v>277</v>
      </c>
    </row>
    <row r="119" spans="1:15" x14ac:dyDescent="0.25">
      <c r="B119" s="145" t="s">
        <v>73</v>
      </c>
      <c r="C119" s="146">
        <v>1433</v>
      </c>
      <c r="D119" s="147">
        <v>5.4451802796173565E-2</v>
      </c>
      <c r="E119" s="146">
        <v>40</v>
      </c>
      <c r="F119" s="147">
        <f t="shared" ref="F119:L131" si="14">IFERROR(E119/C119-1,"-")</f>
        <v>-0.97208653175157012</v>
      </c>
      <c r="G119" s="146">
        <v>1082</v>
      </c>
      <c r="H119" s="147">
        <f t="shared" si="14"/>
        <v>26.05</v>
      </c>
      <c r="I119" s="146">
        <v>1714</v>
      </c>
      <c r="J119" s="147">
        <f t="shared" si="14"/>
        <v>0.5841035120147875</v>
      </c>
      <c r="K119" s="146">
        <v>1480</v>
      </c>
      <c r="L119" s="147">
        <f t="shared" si="14"/>
        <v>-0.13652275379229872</v>
      </c>
      <c r="M119" s="146">
        <v>1352</v>
      </c>
      <c r="N119" s="147">
        <f t="shared" ref="N119:N128" si="15">IFERROR(M119/K119-1,"-")</f>
        <v>-8.6486486486486491E-2</v>
      </c>
    </row>
    <row r="120" spans="1:15" x14ac:dyDescent="0.25">
      <c r="B120" s="145" t="s">
        <v>75</v>
      </c>
      <c r="C120" s="146">
        <v>2393</v>
      </c>
      <c r="D120" s="147">
        <v>0.48357098574085544</v>
      </c>
      <c r="E120" s="146">
        <v>45</v>
      </c>
      <c r="F120" s="147">
        <f t="shared" si="14"/>
        <v>-0.98119515252820722</v>
      </c>
      <c r="G120" s="146">
        <v>1253</v>
      </c>
      <c r="H120" s="147">
        <f t="shared" si="14"/>
        <v>26.844444444444445</v>
      </c>
      <c r="I120" s="146">
        <v>1744</v>
      </c>
      <c r="J120" s="147">
        <f t="shared" si="14"/>
        <v>0.39185953711093369</v>
      </c>
      <c r="K120" s="146">
        <v>2068</v>
      </c>
      <c r="L120" s="147">
        <f t="shared" si="14"/>
        <v>0.18577981651376141</v>
      </c>
      <c r="M120" s="146">
        <v>1741</v>
      </c>
      <c r="N120" s="147">
        <f t="shared" si="15"/>
        <v>-0.15812379110251451</v>
      </c>
    </row>
    <row r="121" spans="1:15" x14ac:dyDescent="0.25">
      <c r="B121" s="145" t="s">
        <v>77</v>
      </c>
      <c r="C121" s="146">
        <v>615</v>
      </c>
      <c r="D121" s="147">
        <v>-0.45138269402319353</v>
      </c>
      <c r="E121" s="146">
        <v>44</v>
      </c>
      <c r="F121" s="147">
        <f t="shared" si="14"/>
        <v>-0.92845528455284554</v>
      </c>
      <c r="G121" s="146">
        <v>1088</v>
      </c>
      <c r="H121" s="147">
        <f t="shared" si="14"/>
        <v>23.727272727272727</v>
      </c>
      <c r="I121" s="146">
        <v>1558</v>
      </c>
      <c r="J121" s="147">
        <f t="shared" si="14"/>
        <v>0.43198529411764697</v>
      </c>
      <c r="K121" s="146">
        <v>1890</v>
      </c>
      <c r="L121" s="147">
        <f t="shared" si="14"/>
        <v>0.21309370988446719</v>
      </c>
      <c r="M121" s="146">
        <v>1246</v>
      </c>
      <c r="N121" s="147">
        <f t="shared" si="15"/>
        <v>-0.34074074074074079</v>
      </c>
    </row>
    <row r="122" spans="1:15" x14ac:dyDescent="0.25">
      <c r="B122" s="145" t="s">
        <v>79</v>
      </c>
      <c r="C122" s="146">
        <v>0</v>
      </c>
      <c r="D122" s="147">
        <v>-1</v>
      </c>
      <c r="E122" s="146">
        <v>55</v>
      </c>
      <c r="F122" s="147" t="str">
        <f t="shared" si="14"/>
        <v>-</v>
      </c>
      <c r="G122" s="146">
        <v>541</v>
      </c>
      <c r="H122" s="147">
        <f t="shared" si="14"/>
        <v>8.836363636363636</v>
      </c>
      <c r="I122" s="146">
        <v>682</v>
      </c>
      <c r="J122" s="147">
        <f t="shared" si="14"/>
        <v>0.26062846580406651</v>
      </c>
      <c r="K122" s="146">
        <v>1379</v>
      </c>
      <c r="L122" s="147">
        <f t="shared" si="14"/>
        <v>1.0219941348973607</v>
      </c>
      <c r="M122" s="146">
        <v>652</v>
      </c>
      <c r="N122" s="147">
        <f t="shared" si="15"/>
        <v>-0.52719361856417701</v>
      </c>
    </row>
    <row r="123" spans="1:15" x14ac:dyDescent="0.25">
      <c r="B123" s="145" t="s">
        <v>81</v>
      </c>
      <c r="C123" s="146">
        <v>0</v>
      </c>
      <c r="D123" s="147">
        <v>-1</v>
      </c>
      <c r="E123" s="146">
        <v>44</v>
      </c>
      <c r="F123" s="147" t="str">
        <f t="shared" si="14"/>
        <v>-</v>
      </c>
      <c r="G123" s="146">
        <v>524</v>
      </c>
      <c r="H123" s="147">
        <f t="shared" si="14"/>
        <v>10.909090909090908</v>
      </c>
      <c r="I123" s="146">
        <v>550</v>
      </c>
      <c r="J123" s="147">
        <f t="shared" si="14"/>
        <v>4.961832061068705E-2</v>
      </c>
      <c r="K123" s="146">
        <v>732</v>
      </c>
      <c r="L123" s="147">
        <f t="shared" si="14"/>
        <v>0.33090909090909082</v>
      </c>
      <c r="M123" s="146">
        <v>482</v>
      </c>
      <c r="N123" s="147">
        <f t="shared" si="15"/>
        <v>-0.34153005464480879</v>
      </c>
    </row>
    <row r="124" spans="1:15" x14ac:dyDescent="0.25">
      <c r="B124" s="145" t="s">
        <v>83</v>
      </c>
      <c r="C124" s="146">
        <v>0</v>
      </c>
      <c r="D124" s="147">
        <v>-1</v>
      </c>
      <c r="E124" s="146">
        <v>121</v>
      </c>
      <c r="F124" s="147" t="str">
        <f t="shared" si="14"/>
        <v>-</v>
      </c>
      <c r="G124" s="146">
        <v>530</v>
      </c>
      <c r="H124" s="147">
        <f t="shared" si="14"/>
        <v>3.3801652892561984</v>
      </c>
      <c r="I124" s="146">
        <v>510</v>
      </c>
      <c r="J124" s="147">
        <f t="shared" si="14"/>
        <v>-3.7735849056603765E-2</v>
      </c>
      <c r="K124" s="146">
        <v>471</v>
      </c>
      <c r="L124" s="147">
        <f t="shared" si="14"/>
        <v>-7.6470588235294068E-2</v>
      </c>
      <c r="M124" s="146">
        <v>452</v>
      </c>
      <c r="N124" s="147">
        <f t="shared" si="15"/>
        <v>-4.0339702760084917E-2</v>
      </c>
    </row>
    <row r="125" spans="1:15" x14ac:dyDescent="0.25">
      <c r="B125" s="145" t="s">
        <v>85</v>
      </c>
      <c r="C125" s="146">
        <v>0</v>
      </c>
      <c r="D125" s="147">
        <v>-1</v>
      </c>
      <c r="E125" s="146">
        <v>184</v>
      </c>
      <c r="F125" s="147" t="str">
        <f t="shared" si="14"/>
        <v>-</v>
      </c>
      <c r="G125" s="146">
        <v>456</v>
      </c>
      <c r="H125" s="147">
        <f t="shared" si="14"/>
        <v>1.4782608695652173</v>
      </c>
      <c r="I125" s="146">
        <v>444</v>
      </c>
      <c r="J125" s="147">
        <f t="shared" si="14"/>
        <v>-2.6315789473684181E-2</v>
      </c>
      <c r="K125" s="146">
        <v>401</v>
      </c>
      <c r="L125" s="147">
        <f t="shared" si="14"/>
        <v>-9.6846846846846857E-2</v>
      </c>
      <c r="M125" s="146">
        <v>401</v>
      </c>
      <c r="N125" s="147">
        <f t="shared" si="15"/>
        <v>0</v>
      </c>
    </row>
    <row r="126" spans="1:15" x14ac:dyDescent="0.25">
      <c r="B126" s="145" t="s">
        <v>87</v>
      </c>
      <c r="C126" s="146">
        <v>66</v>
      </c>
      <c r="D126" s="147">
        <v>-0.70403587443946192</v>
      </c>
      <c r="E126" s="146">
        <v>415</v>
      </c>
      <c r="F126" s="147">
        <f t="shared" si="14"/>
        <v>5.2878787878787881</v>
      </c>
      <c r="G126" s="146">
        <v>482</v>
      </c>
      <c r="H126" s="147">
        <f t="shared" si="14"/>
        <v>0.16144578313253022</v>
      </c>
      <c r="I126" s="146">
        <v>571</v>
      </c>
      <c r="J126" s="147">
        <f t="shared" si="14"/>
        <v>0.18464730290456433</v>
      </c>
      <c r="K126" s="146">
        <v>572</v>
      </c>
      <c r="L126" s="147">
        <f t="shared" si="14"/>
        <v>1.7513134851139256E-3</v>
      </c>
      <c r="M126" s="146">
        <v>348</v>
      </c>
      <c r="N126" s="147">
        <f t="shared" si="15"/>
        <v>-0.39160839160839156</v>
      </c>
    </row>
    <row r="127" spans="1:15" x14ac:dyDescent="0.25">
      <c r="B127" s="145" t="s">
        <v>89</v>
      </c>
      <c r="C127" s="146">
        <v>42</v>
      </c>
      <c r="D127" s="147">
        <v>-0.88617886178861793</v>
      </c>
      <c r="E127" s="146">
        <v>273</v>
      </c>
      <c r="F127" s="147">
        <f t="shared" si="14"/>
        <v>5.5</v>
      </c>
      <c r="G127" s="146">
        <v>722</v>
      </c>
      <c r="H127" s="147">
        <f t="shared" si="14"/>
        <v>1.6446886446886446</v>
      </c>
      <c r="I127" s="146">
        <v>664</v>
      </c>
      <c r="J127" s="147">
        <f t="shared" si="14"/>
        <v>-8.0332409972299179E-2</v>
      </c>
      <c r="K127" s="146">
        <v>519</v>
      </c>
      <c r="L127" s="147">
        <f t="shared" si="14"/>
        <v>-0.21837349397590367</v>
      </c>
      <c r="M127" s="146">
        <v>478</v>
      </c>
      <c r="N127" s="147">
        <f t="shared" si="15"/>
        <v>-7.899807321772645E-2</v>
      </c>
    </row>
    <row r="128" spans="1:15" x14ac:dyDescent="0.25">
      <c r="A128" s="151"/>
      <c r="B128" s="145" t="s">
        <v>91</v>
      </c>
      <c r="C128" s="146">
        <v>90</v>
      </c>
      <c r="D128" s="147">
        <v>-0.71153846153846156</v>
      </c>
      <c r="E128" s="146">
        <v>757</v>
      </c>
      <c r="F128" s="147">
        <f t="shared" si="14"/>
        <v>7.4111111111111114</v>
      </c>
      <c r="G128" s="146">
        <v>676</v>
      </c>
      <c r="H128" s="147">
        <f t="shared" si="14"/>
        <v>-0.10700132100396298</v>
      </c>
      <c r="I128" s="146">
        <v>658</v>
      </c>
      <c r="J128" s="147">
        <f t="shared" si="14"/>
        <v>-2.6627218934911268E-2</v>
      </c>
      <c r="K128" s="146">
        <v>850</v>
      </c>
      <c r="L128" s="147">
        <f t="shared" si="14"/>
        <v>0.29179331306990886</v>
      </c>
      <c r="M128" s="146">
        <v>773</v>
      </c>
      <c r="N128" s="147">
        <f t="shared" si="15"/>
        <v>-9.0588235294117636E-2</v>
      </c>
    </row>
    <row r="129" spans="2:15" x14ac:dyDescent="0.25">
      <c r="B129" s="145" t="s">
        <v>93</v>
      </c>
      <c r="C129" s="146">
        <v>206</v>
      </c>
      <c r="D129" s="147">
        <v>-0.73071895424836608</v>
      </c>
      <c r="E129" s="146">
        <v>836</v>
      </c>
      <c r="F129" s="147">
        <f t="shared" si="14"/>
        <v>3.058252427184466</v>
      </c>
      <c r="G129" s="146">
        <v>947</v>
      </c>
      <c r="H129" s="147">
        <f t="shared" si="14"/>
        <v>0.13277511961722488</v>
      </c>
      <c r="I129" s="146">
        <v>849</v>
      </c>
      <c r="J129" s="147">
        <f t="shared" si="14"/>
        <v>-0.10348468848996828</v>
      </c>
      <c r="K129" s="146">
        <v>1075</v>
      </c>
      <c r="L129" s="147">
        <f t="shared" si="14"/>
        <v>0.26619552414605407</v>
      </c>
      <c r="M129" s="146"/>
      <c r="N129" s="147"/>
    </row>
    <row r="130" spans="2:15" x14ac:dyDescent="0.25">
      <c r="B130" s="145" t="s">
        <v>95</v>
      </c>
      <c r="C130" s="146">
        <v>136</v>
      </c>
      <c r="D130" s="147">
        <v>-0.82268578878748366</v>
      </c>
      <c r="E130" s="146">
        <v>680</v>
      </c>
      <c r="F130" s="147">
        <f t="shared" si="14"/>
        <v>4</v>
      </c>
      <c r="G130" s="146">
        <v>948</v>
      </c>
      <c r="H130" s="147">
        <f t="shared" si="14"/>
        <v>0.39411764705882346</v>
      </c>
      <c r="I130" s="146">
        <v>1233</v>
      </c>
      <c r="J130" s="147">
        <f t="shared" si="14"/>
        <v>0.30063291139240511</v>
      </c>
      <c r="K130" s="146">
        <v>859</v>
      </c>
      <c r="L130" s="147">
        <f t="shared" si="14"/>
        <v>-0.30332522303325227</v>
      </c>
      <c r="M130" s="146"/>
      <c r="N130" s="147"/>
    </row>
    <row r="131" spans="2:15" ht="15.75" x14ac:dyDescent="0.25">
      <c r="B131" s="148" t="s">
        <v>32</v>
      </c>
      <c r="C131" s="149">
        <v>5019</v>
      </c>
      <c r="D131" s="150">
        <v>-0.37899034892353378</v>
      </c>
      <c r="E131" s="149">
        <v>3494</v>
      </c>
      <c r="F131" s="150">
        <f t="shared" si="14"/>
        <v>-0.30384538752739587</v>
      </c>
      <c r="G131" s="149">
        <v>9249</v>
      </c>
      <c r="H131" s="150">
        <f t="shared" si="14"/>
        <v>1.6471093302804807</v>
      </c>
      <c r="I131" s="149">
        <v>11177</v>
      </c>
      <c r="J131" s="150">
        <f t="shared" si="14"/>
        <v>0.20845496810465991</v>
      </c>
      <c r="K131" s="149">
        <v>12296</v>
      </c>
      <c r="L131" s="150">
        <f t="shared" si="14"/>
        <v>0.10011631028003931</v>
      </c>
      <c r="M131" s="149">
        <v>7925</v>
      </c>
      <c r="N131" s="150">
        <v>-0.23518625747925115</v>
      </c>
    </row>
    <row r="132" spans="2:15" ht="6" customHeight="1" x14ac:dyDescent="0.25"/>
    <row r="133" spans="2:15" x14ac:dyDescent="0.25">
      <c r="B133" s="131" t="s">
        <v>57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C134" s="151"/>
      <c r="K134" s="151"/>
      <c r="N134" s="103"/>
    </row>
    <row r="136" spans="2:15" ht="48.75" customHeight="1" thickBot="1" x14ac:dyDescent="0.3">
      <c r="B136" s="12" t="s">
        <v>282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113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114</v>
      </c>
    </row>
    <row r="138" spans="2:15" ht="22.5" thickTop="1" thickBot="1" x14ac:dyDescent="0.3">
      <c r="B138" s="152" t="str">
        <f>C138</f>
        <v>Alemania</v>
      </c>
      <c r="C138" s="135" t="s">
        <v>115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f>$C$7</f>
        <v>2020</v>
      </c>
      <c r="D139" s="139"/>
      <c r="E139" s="140">
        <f>$E$7</f>
        <v>2021</v>
      </c>
      <c r="F139" s="139"/>
      <c r="G139" s="140">
        <f>$G$7</f>
        <v>2022</v>
      </c>
      <c r="H139" s="139"/>
      <c r="I139" s="140">
        <f>$I$7</f>
        <v>2023</v>
      </c>
      <c r="J139" s="139"/>
      <c r="K139" s="140">
        <f>$K$7</f>
        <v>2024</v>
      </c>
      <c r="L139" s="139"/>
      <c r="M139" s="140">
        <f>$M$7</f>
        <v>2025</v>
      </c>
      <c r="N139" s="141"/>
    </row>
    <row r="140" spans="2:15" ht="16.5" thickTop="1" thickBot="1" x14ac:dyDescent="0.3">
      <c r="B140" s="109"/>
      <c r="C140" s="142" t="s">
        <v>71</v>
      </c>
      <c r="D140" s="143" t="str">
        <f>CONCATENATE("var. ",RIGHT(C139,2),"/",RIGHT(C139-1,2))</f>
        <v>var. 20/19</v>
      </c>
      <c r="E140" s="144" t="s">
        <v>71</v>
      </c>
      <c r="F140" s="143" t="s">
        <v>252</v>
      </c>
      <c r="G140" s="144" t="s">
        <v>71</v>
      </c>
      <c r="H140" s="143" t="s">
        <v>252</v>
      </c>
      <c r="I140" s="144" t="s">
        <v>71</v>
      </c>
      <c r="J140" s="143" t="s">
        <v>252</v>
      </c>
      <c r="K140" s="144" t="s">
        <v>71</v>
      </c>
      <c r="L140" s="143" t="s">
        <v>252</v>
      </c>
      <c r="M140" s="144" t="s">
        <v>71</v>
      </c>
      <c r="N140" s="143" t="s">
        <v>277</v>
      </c>
    </row>
    <row r="141" spans="2:15" x14ac:dyDescent="0.25">
      <c r="B141" s="145" t="s">
        <v>73</v>
      </c>
      <c r="C141" s="146">
        <v>2551</v>
      </c>
      <c r="D141" s="147">
        <v>2.9459241323648078E-2</v>
      </c>
      <c r="E141" s="146">
        <v>513</v>
      </c>
      <c r="F141" s="147">
        <f t="shared" ref="F141:L153" si="16">IFERROR(E141/C141-1,"-")</f>
        <v>-0.79890239121912976</v>
      </c>
      <c r="G141" s="146">
        <v>1768</v>
      </c>
      <c r="H141" s="147">
        <f t="shared" si="16"/>
        <v>2.4463937621832357</v>
      </c>
      <c r="I141" s="146">
        <v>2687</v>
      </c>
      <c r="J141" s="147">
        <f t="shared" si="16"/>
        <v>0.51979638009049767</v>
      </c>
      <c r="K141" s="146">
        <v>3551</v>
      </c>
      <c r="L141" s="147">
        <f t="shared" si="16"/>
        <v>0.32154819501302567</v>
      </c>
      <c r="M141" s="146">
        <v>2661</v>
      </c>
      <c r="N141" s="147">
        <f t="shared" ref="N141:N150" si="17">IFERROR(M141/K141-1,"-")</f>
        <v>-0.25063362433117431</v>
      </c>
    </row>
    <row r="142" spans="2:15" x14ac:dyDescent="0.25">
      <c r="B142" s="145" t="s">
        <v>75</v>
      </c>
      <c r="C142" s="146">
        <v>2540</v>
      </c>
      <c r="D142" s="147">
        <v>-0.11374738311235166</v>
      </c>
      <c r="E142" s="146">
        <v>554</v>
      </c>
      <c r="F142" s="147">
        <f t="shared" si="16"/>
        <v>-0.78188976377952757</v>
      </c>
      <c r="G142" s="146">
        <v>2351</v>
      </c>
      <c r="H142" s="147">
        <f t="shared" si="16"/>
        <v>3.243682310469314</v>
      </c>
      <c r="I142" s="146">
        <v>2836</v>
      </c>
      <c r="J142" s="147">
        <f t="shared" si="16"/>
        <v>0.20629519353466619</v>
      </c>
      <c r="K142" s="146">
        <v>3116</v>
      </c>
      <c r="L142" s="147">
        <f t="shared" si="16"/>
        <v>9.8730606488011352E-2</v>
      </c>
      <c r="M142" s="146">
        <v>3261</v>
      </c>
      <c r="N142" s="147">
        <f t="shared" si="17"/>
        <v>4.6534017971758601E-2</v>
      </c>
    </row>
    <row r="143" spans="2:15" x14ac:dyDescent="0.25">
      <c r="B143" s="145" t="s">
        <v>77</v>
      </c>
      <c r="C143" s="146">
        <v>1376</v>
      </c>
      <c r="D143" s="147">
        <v>-0.55826645264847508</v>
      </c>
      <c r="E143" s="146">
        <v>832</v>
      </c>
      <c r="F143" s="147">
        <f t="shared" si="16"/>
        <v>-0.39534883720930236</v>
      </c>
      <c r="G143" s="146">
        <v>2524</v>
      </c>
      <c r="H143" s="147">
        <f t="shared" si="16"/>
        <v>2.0336538461538463</v>
      </c>
      <c r="I143" s="146">
        <v>2988</v>
      </c>
      <c r="J143" s="147">
        <f t="shared" si="16"/>
        <v>0.1838351822503963</v>
      </c>
      <c r="K143" s="146">
        <v>3366</v>
      </c>
      <c r="L143" s="147">
        <f t="shared" si="16"/>
        <v>0.12650602409638556</v>
      </c>
      <c r="M143" s="146">
        <v>3312</v>
      </c>
      <c r="N143" s="147">
        <f t="shared" si="17"/>
        <v>-1.6042780748663055E-2</v>
      </c>
    </row>
    <row r="144" spans="2:15" x14ac:dyDescent="0.25">
      <c r="B144" s="145" t="s">
        <v>79</v>
      </c>
      <c r="C144" s="146">
        <v>0</v>
      </c>
      <c r="D144" s="147">
        <v>-1</v>
      </c>
      <c r="E144" s="146">
        <v>529</v>
      </c>
      <c r="F144" s="147" t="str">
        <f t="shared" si="16"/>
        <v>-</v>
      </c>
      <c r="G144" s="146">
        <v>2322</v>
      </c>
      <c r="H144" s="147">
        <f t="shared" si="16"/>
        <v>3.3894139886578447</v>
      </c>
      <c r="I144" s="146">
        <v>2380</v>
      </c>
      <c r="J144" s="147">
        <f t="shared" si="16"/>
        <v>2.4978466838931901E-2</v>
      </c>
      <c r="K144" s="146">
        <v>2313</v>
      </c>
      <c r="L144" s="147">
        <f t="shared" si="16"/>
        <v>-2.8151260504201692E-2</v>
      </c>
      <c r="M144" s="146">
        <v>1873</v>
      </c>
      <c r="N144" s="147">
        <f t="shared" si="17"/>
        <v>-0.19022913964548205</v>
      </c>
    </row>
    <row r="145" spans="1:15" x14ac:dyDescent="0.25">
      <c r="B145" s="145" t="s">
        <v>81</v>
      </c>
      <c r="C145" s="146">
        <v>0</v>
      </c>
      <c r="D145" s="147">
        <v>-1</v>
      </c>
      <c r="E145" s="146">
        <v>579</v>
      </c>
      <c r="F145" s="147" t="str">
        <f t="shared" si="16"/>
        <v>-</v>
      </c>
      <c r="G145" s="146">
        <v>1417</v>
      </c>
      <c r="H145" s="147">
        <f t="shared" si="16"/>
        <v>1.4473229706390329</v>
      </c>
      <c r="I145" s="146">
        <v>1273</v>
      </c>
      <c r="J145" s="147">
        <f t="shared" si="16"/>
        <v>-0.10162314749470713</v>
      </c>
      <c r="K145" s="146">
        <v>1592</v>
      </c>
      <c r="L145" s="147">
        <f t="shared" si="16"/>
        <v>0.25058915946582871</v>
      </c>
      <c r="M145" s="146">
        <v>1415</v>
      </c>
      <c r="N145" s="147">
        <f t="shared" si="17"/>
        <v>-0.11118090452261309</v>
      </c>
    </row>
    <row r="146" spans="1:15" x14ac:dyDescent="0.25">
      <c r="B146" s="145" t="s">
        <v>83</v>
      </c>
      <c r="C146" s="146">
        <v>0</v>
      </c>
      <c r="D146" s="147">
        <v>-1</v>
      </c>
      <c r="E146" s="146">
        <v>885</v>
      </c>
      <c r="F146" s="147" t="str">
        <f t="shared" si="16"/>
        <v>-</v>
      </c>
      <c r="G146" s="146">
        <v>894</v>
      </c>
      <c r="H146" s="147">
        <f t="shared" si="16"/>
        <v>1.0169491525423791E-2</v>
      </c>
      <c r="I146" s="146">
        <v>831</v>
      </c>
      <c r="J146" s="147">
        <f t="shared" si="16"/>
        <v>-7.0469798657718075E-2</v>
      </c>
      <c r="K146" s="146">
        <v>1011</v>
      </c>
      <c r="L146" s="147">
        <f t="shared" si="16"/>
        <v>0.21660649819494582</v>
      </c>
      <c r="M146" s="146">
        <v>965</v>
      </c>
      <c r="N146" s="147">
        <f t="shared" si="17"/>
        <v>-4.5499505440158239E-2</v>
      </c>
    </row>
    <row r="147" spans="1:15" x14ac:dyDescent="0.25">
      <c r="B147" s="145" t="s">
        <v>85</v>
      </c>
      <c r="C147" s="146">
        <v>0</v>
      </c>
      <c r="D147" s="147">
        <v>-1</v>
      </c>
      <c r="E147" s="146">
        <v>856</v>
      </c>
      <c r="F147" s="147" t="str">
        <f t="shared" si="16"/>
        <v>-</v>
      </c>
      <c r="G147" s="146">
        <v>945</v>
      </c>
      <c r="H147" s="147">
        <f t="shared" si="16"/>
        <v>0.10397196261682251</v>
      </c>
      <c r="I147" s="146">
        <v>427</v>
      </c>
      <c r="J147" s="147">
        <f t="shared" si="16"/>
        <v>-0.54814814814814816</v>
      </c>
      <c r="K147" s="146">
        <v>454</v>
      </c>
      <c r="L147" s="147">
        <f t="shared" si="16"/>
        <v>6.3231850117096089E-2</v>
      </c>
      <c r="M147" s="146">
        <v>390</v>
      </c>
      <c r="N147" s="147">
        <f t="shared" si="17"/>
        <v>-0.1409691629955947</v>
      </c>
    </row>
    <row r="148" spans="1:15" x14ac:dyDescent="0.25">
      <c r="B148" s="145" t="s">
        <v>87</v>
      </c>
      <c r="C148" s="146">
        <v>307</v>
      </c>
      <c r="D148" s="147">
        <v>-0.44080145719489983</v>
      </c>
      <c r="E148" s="146">
        <v>1325</v>
      </c>
      <c r="F148" s="147">
        <f t="shared" si="16"/>
        <v>3.315960912052117</v>
      </c>
      <c r="G148" s="146">
        <v>1073</v>
      </c>
      <c r="H148" s="147">
        <f t="shared" si="16"/>
        <v>-0.19018867924528304</v>
      </c>
      <c r="I148" s="146">
        <v>1227</v>
      </c>
      <c r="J148" s="147">
        <f t="shared" si="16"/>
        <v>0.14352283317800563</v>
      </c>
      <c r="K148" s="146">
        <v>1129</v>
      </c>
      <c r="L148" s="147">
        <f t="shared" si="16"/>
        <v>-7.9869600651996775E-2</v>
      </c>
      <c r="M148" s="146">
        <v>915</v>
      </c>
      <c r="N148" s="147">
        <f t="shared" si="17"/>
        <v>-0.18954827280779452</v>
      </c>
    </row>
    <row r="149" spans="1:15" x14ac:dyDescent="0.25">
      <c r="B149" s="145" t="s">
        <v>89</v>
      </c>
      <c r="C149" s="146">
        <v>72</v>
      </c>
      <c r="D149" s="147">
        <v>-0.8783783783783784</v>
      </c>
      <c r="E149" s="146">
        <v>1236</v>
      </c>
      <c r="F149" s="147">
        <f t="shared" si="16"/>
        <v>16.166666666666668</v>
      </c>
      <c r="G149" s="146">
        <v>1386</v>
      </c>
      <c r="H149" s="147">
        <f t="shared" si="16"/>
        <v>0.12135922330097082</v>
      </c>
      <c r="I149" s="146">
        <v>1288</v>
      </c>
      <c r="J149" s="147">
        <f t="shared" si="16"/>
        <v>-7.0707070707070718E-2</v>
      </c>
      <c r="K149" s="146">
        <v>1311</v>
      </c>
      <c r="L149" s="147">
        <f t="shared" si="16"/>
        <v>1.7857142857142794E-2</v>
      </c>
      <c r="M149" s="146">
        <v>1165</v>
      </c>
      <c r="N149" s="147">
        <f t="shared" si="17"/>
        <v>-0.11136536994660562</v>
      </c>
    </row>
    <row r="150" spans="1:15" x14ac:dyDescent="0.25">
      <c r="A150" s="151"/>
      <c r="B150" s="145" t="s">
        <v>91</v>
      </c>
      <c r="C150" s="146">
        <v>122</v>
      </c>
      <c r="D150" s="147">
        <v>-0.92742415229030339</v>
      </c>
      <c r="E150" s="146">
        <v>3442</v>
      </c>
      <c r="F150" s="147">
        <f t="shared" si="16"/>
        <v>27.21311475409836</v>
      </c>
      <c r="G150" s="146">
        <v>2114</v>
      </c>
      <c r="H150" s="147">
        <f t="shared" si="16"/>
        <v>-0.38582219639744331</v>
      </c>
      <c r="I150" s="146">
        <v>1758</v>
      </c>
      <c r="J150" s="147">
        <f t="shared" si="16"/>
        <v>-0.16840113528855249</v>
      </c>
      <c r="K150" s="146">
        <v>1824</v>
      </c>
      <c r="L150" s="147">
        <f t="shared" si="16"/>
        <v>3.7542662116040848E-2</v>
      </c>
      <c r="M150" s="146">
        <v>1932</v>
      </c>
      <c r="N150" s="147">
        <f t="shared" si="17"/>
        <v>5.921052631578938E-2</v>
      </c>
    </row>
    <row r="151" spans="1:15" x14ac:dyDescent="0.25">
      <c r="B151" s="145" t="s">
        <v>93</v>
      </c>
      <c r="C151" s="146">
        <v>210</v>
      </c>
      <c r="D151" s="147">
        <v>-0.93445692883895126</v>
      </c>
      <c r="E151" s="146">
        <v>2718</v>
      </c>
      <c r="F151" s="147">
        <f t="shared" si="16"/>
        <v>11.942857142857143</v>
      </c>
      <c r="G151" s="146">
        <v>2423</v>
      </c>
      <c r="H151" s="147">
        <f t="shared" si="16"/>
        <v>-0.10853568800588664</v>
      </c>
      <c r="I151" s="146">
        <v>2908</v>
      </c>
      <c r="J151" s="147">
        <f t="shared" si="16"/>
        <v>0.20016508460586047</v>
      </c>
      <c r="K151" s="146">
        <v>2912</v>
      </c>
      <c r="L151" s="147">
        <f t="shared" si="16"/>
        <v>1.3755158184318717E-3</v>
      </c>
      <c r="M151" s="146"/>
      <c r="N151" s="147"/>
    </row>
    <row r="152" spans="1:15" x14ac:dyDescent="0.25">
      <c r="B152" s="145" t="s">
        <v>95</v>
      </c>
      <c r="C152" s="146">
        <v>199</v>
      </c>
      <c r="D152" s="147">
        <v>-0.91182986264953481</v>
      </c>
      <c r="E152" s="146">
        <v>1924</v>
      </c>
      <c r="F152" s="147">
        <f t="shared" si="16"/>
        <v>8.6683417085427141</v>
      </c>
      <c r="G152" s="146">
        <v>1833</v>
      </c>
      <c r="H152" s="147">
        <f t="shared" si="16"/>
        <v>-4.7297297297297258E-2</v>
      </c>
      <c r="I152" s="146">
        <v>2036</v>
      </c>
      <c r="J152" s="147">
        <f t="shared" si="16"/>
        <v>0.11074740861974908</v>
      </c>
      <c r="K152" s="146">
        <v>2476</v>
      </c>
      <c r="L152" s="147">
        <f t="shared" si="16"/>
        <v>0.21611001964636545</v>
      </c>
      <c r="M152" s="146"/>
      <c r="N152" s="147"/>
    </row>
    <row r="153" spans="1:15" ht="15.75" x14ac:dyDescent="0.25">
      <c r="B153" s="148" t="s">
        <v>32</v>
      </c>
      <c r="C153" s="149">
        <v>7473</v>
      </c>
      <c r="D153" s="150">
        <v>-0.65023869699522607</v>
      </c>
      <c r="E153" s="149">
        <v>15393</v>
      </c>
      <c r="F153" s="150">
        <f t="shared" si="16"/>
        <v>1.0598153352067441</v>
      </c>
      <c r="G153" s="149">
        <v>21050</v>
      </c>
      <c r="H153" s="150">
        <f t="shared" si="16"/>
        <v>0.36750470993308637</v>
      </c>
      <c r="I153" s="149">
        <v>22639</v>
      </c>
      <c r="J153" s="150">
        <f t="shared" si="16"/>
        <v>7.5486935866983407E-2</v>
      </c>
      <c r="K153" s="149">
        <v>25055</v>
      </c>
      <c r="L153" s="150">
        <f t="shared" si="16"/>
        <v>0.10671849463315519</v>
      </c>
      <c r="M153" s="149">
        <v>17889</v>
      </c>
      <c r="N153" s="150">
        <v>-9.0405247368688713E-2</v>
      </c>
    </row>
    <row r="154" spans="1:15" ht="6" customHeight="1" x14ac:dyDescent="0.25"/>
    <row r="155" spans="1:15" x14ac:dyDescent="0.25">
      <c r="B155" s="131" t="s">
        <v>57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C156" s="151"/>
      <c r="K156" s="151"/>
      <c r="N156" s="103"/>
    </row>
    <row r="158" spans="1:15" ht="48.75" customHeight="1" thickBot="1" x14ac:dyDescent="0.3">
      <c r="B158" s="12" t="s">
        <v>283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116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117</v>
      </c>
    </row>
    <row r="160" spans="1:15" ht="22.5" thickTop="1" thickBot="1" x14ac:dyDescent="0.3">
      <c r="B160" s="152" t="str">
        <f>C160</f>
        <v>Francia</v>
      </c>
      <c r="C160" s="135" t="s">
        <v>118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f>$C$7</f>
        <v>2020</v>
      </c>
      <c r="D161" s="139"/>
      <c r="E161" s="140">
        <f>$E$7</f>
        <v>2021</v>
      </c>
      <c r="F161" s="139"/>
      <c r="G161" s="140">
        <f>$G$7</f>
        <v>2022</v>
      </c>
      <c r="H161" s="139"/>
      <c r="I161" s="140">
        <f>$I$7</f>
        <v>2023</v>
      </c>
      <c r="J161" s="139"/>
      <c r="K161" s="140">
        <f>$K$7</f>
        <v>2024</v>
      </c>
      <c r="L161" s="139"/>
      <c r="M161" s="140">
        <f>$M$7</f>
        <v>2025</v>
      </c>
      <c r="N161" s="141"/>
    </row>
    <row r="162" spans="2:14" ht="16.5" thickTop="1" thickBot="1" x14ac:dyDescent="0.3">
      <c r="B162" s="109"/>
      <c r="C162" s="142" t="s">
        <v>71</v>
      </c>
      <c r="D162" s="143" t="str">
        <f>CONCATENATE("var. ",RIGHT(C161,2),"/",RIGHT(C161-1,2))</f>
        <v>var. 20/19</v>
      </c>
      <c r="E162" s="144" t="s">
        <v>71</v>
      </c>
      <c r="F162" s="143" t="s">
        <v>252</v>
      </c>
      <c r="G162" s="144" t="s">
        <v>71</v>
      </c>
      <c r="H162" s="143" t="s">
        <v>252</v>
      </c>
      <c r="I162" s="144" t="s">
        <v>71</v>
      </c>
      <c r="J162" s="143" t="s">
        <v>252</v>
      </c>
      <c r="K162" s="144" t="s">
        <v>71</v>
      </c>
      <c r="L162" s="143" t="s">
        <v>252</v>
      </c>
      <c r="M162" s="144" t="s">
        <v>71</v>
      </c>
      <c r="N162" s="143" t="s">
        <v>277</v>
      </c>
    </row>
    <row r="163" spans="2:14" x14ac:dyDescent="0.25">
      <c r="B163" s="145" t="s">
        <v>73</v>
      </c>
      <c r="C163" s="146">
        <v>944</v>
      </c>
      <c r="D163" s="147">
        <v>0.31111111111111112</v>
      </c>
      <c r="E163" s="146">
        <v>372</v>
      </c>
      <c r="F163" s="147">
        <f t="shared" ref="F163:L175" si="18">IFERROR(E163/C163-1,"-")</f>
        <v>-0.60593220338983045</v>
      </c>
      <c r="G163" s="146">
        <v>771</v>
      </c>
      <c r="H163" s="147">
        <f t="shared" si="18"/>
        <v>1.0725806451612905</v>
      </c>
      <c r="I163" s="146">
        <v>1006</v>
      </c>
      <c r="J163" s="147">
        <f t="shared" si="18"/>
        <v>0.30479896238651105</v>
      </c>
      <c r="K163" s="146">
        <v>991</v>
      </c>
      <c r="L163" s="147">
        <f t="shared" si="18"/>
        <v>-1.491053677932408E-2</v>
      </c>
      <c r="M163" s="146">
        <v>1041</v>
      </c>
      <c r="N163" s="147">
        <f t="shared" ref="N163:N172" si="19">IFERROR(M163/K163-1,"-")</f>
        <v>5.045408678102925E-2</v>
      </c>
    </row>
    <row r="164" spans="2:14" x14ac:dyDescent="0.25">
      <c r="B164" s="145" t="s">
        <v>75</v>
      </c>
      <c r="C164" s="146">
        <v>1207</v>
      </c>
      <c r="D164" s="147">
        <v>0.27320675105485237</v>
      </c>
      <c r="E164" s="146">
        <v>546</v>
      </c>
      <c r="F164" s="147">
        <f t="shared" si="18"/>
        <v>-0.54763877381938686</v>
      </c>
      <c r="G164" s="146">
        <v>863</v>
      </c>
      <c r="H164" s="147">
        <f t="shared" si="18"/>
        <v>0.58058608058608052</v>
      </c>
      <c r="I164" s="146">
        <v>1019</v>
      </c>
      <c r="J164" s="147">
        <f t="shared" si="18"/>
        <v>0.18076477404403235</v>
      </c>
      <c r="K164" s="146">
        <v>1220</v>
      </c>
      <c r="L164" s="147">
        <f t="shared" si="18"/>
        <v>0.19725220804710508</v>
      </c>
      <c r="M164" s="146">
        <v>1002</v>
      </c>
      <c r="N164" s="147">
        <f t="shared" si="19"/>
        <v>-0.17868852459016393</v>
      </c>
    </row>
    <row r="165" spans="2:14" x14ac:dyDescent="0.25">
      <c r="B165" s="145" t="s">
        <v>77</v>
      </c>
      <c r="C165" s="146">
        <v>505</v>
      </c>
      <c r="D165" s="147">
        <v>-0.51628352490421459</v>
      </c>
      <c r="E165" s="146">
        <v>843</v>
      </c>
      <c r="F165" s="147">
        <f t="shared" si="18"/>
        <v>0.66930693069306924</v>
      </c>
      <c r="G165" s="146">
        <v>945</v>
      </c>
      <c r="H165" s="147">
        <f t="shared" si="18"/>
        <v>0.12099644128113884</v>
      </c>
      <c r="I165" s="146">
        <v>1138</v>
      </c>
      <c r="J165" s="147">
        <f t="shared" si="18"/>
        <v>0.20423280423280432</v>
      </c>
      <c r="K165" s="146">
        <v>1305</v>
      </c>
      <c r="L165" s="147">
        <f t="shared" si="18"/>
        <v>0.14674868189806678</v>
      </c>
      <c r="M165" s="146">
        <v>1267</v>
      </c>
      <c r="N165" s="147">
        <f t="shared" si="19"/>
        <v>-2.9118773946360199E-2</v>
      </c>
    </row>
    <row r="166" spans="2:14" x14ac:dyDescent="0.25">
      <c r="B166" s="145" t="s">
        <v>79</v>
      </c>
      <c r="C166" s="146">
        <v>0</v>
      </c>
      <c r="D166" s="147">
        <v>-1</v>
      </c>
      <c r="E166" s="146">
        <v>695</v>
      </c>
      <c r="F166" s="147" t="str">
        <f t="shared" si="18"/>
        <v>-</v>
      </c>
      <c r="G166" s="146">
        <v>745</v>
      </c>
      <c r="H166" s="147">
        <f t="shared" si="18"/>
        <v>7.1942446043165464E-2</v>
      </c>
      <c r="I166" s="146">
        <v>650</v>
      </c>
      <c r="J166" s="147">
        <f t="shared" si="18"/>
        <v>-0.12751677852348997</v>
      </c>
      <c r="K166" s="146">
        <v>832</v>
      </c>
      <c r="L166" s="147">
        <f t="shared" si="18"/>
        <v>0.28000000000000003</v>
      </c>
      <c r="M166" s="146">
        <v>686</v>
      </c>
      <c r="N166" s="147">
        <f t="shared" si="19"/>
        <v>-0.17548076923076927</v>
      </c>
    </row>
    <row r="167" spans="2:14" x14ac:dyDescent="0.25">
      <c r="B167" s="145" t="s">
        <v>81</v>
      </c>
      <c r="C167" s="146">
        <v>0</v>
      </c>
      <c r="D167" s="147">
        <v>-1</v>
      </c>
      <c r="E167" s="146">
        <v>723</v>
      </c>
      <c r="F167" s="147" t="str">
        <f t="shared" si="18"/>
        <v>-</v>
      </c>
      <c r="G167" s="146">
        <v>572</v>
      </c>
      <c r="H167" s="147">
        <f t="shared" si="18"/>
        <v>-0.20885200553250349</v>
      </c>
      <c r="I167" s="146">
        <v>732</v>
      </c>
      <c r="J167" s="147">
        <f t="shared" si="18"/>
        <v>0.2797202797202798</v>
      </c>
      <c r="K167" s="146">
        <v>862</v>
      </c>
      <c r="L167" s="147">
        <f t="shared" si="18"/>
        <v>0.17759562841530063</v>
      </c>
      <c r="M167" s="146">
        <v>787</v>
      </c>
      <c r="N167" s="147">
        <f t="shared" si="19"/>
        <v>-8.7006960556844537E-2</v>
      </c>
    </row>
    <row r="168" spans="2:14" x14ac:dyDescent="0.25">
      <c r="B168" s="145" t="s">
        <v>83</v>
      </c>
      <c r="C168" s="146">
        <v>0</v>
      </c>
      <c r="D168" s="147">
        <v>-1</v>
      </c>
      <c r="E168" s="146">
        <v>357</v>
      </c>
      <c r="F168" s="147" t="str">
        <f t="shared" si="18"/>
        <v>-</v>
      </c>
      <c r="G168" s="146">
        <v>278</v>
      </c>
      <c r="H168" s="147">
        <f t="shared" si="18"/>
        <v>-0.22128851540616246</v>
      </c>
      <c r="I168" s="146">
        <v>374</v>
      </c>
      <c r="J168" s="147">
        <f t="shared" si="18"/>
        <v>0.34532374100719432</v>
      </c>
      <c r="K168" s="146">
        <v>426</v>
      </c>
      <c r="L168" s="147">
        <f t="shared" si="18"/>
        <v>0.1390374331550801</v>
      </c>
      <c r="M168" s="146">
        <v>397</v>
      </c>
      <c r="N168" s="147">
        <f t="shared" si="19"/>
        <v>-6.8075117370892002E-2</v>
      </c>
    </row>
    <row r="169" spans="2:14" x14ac:dyDescent="0.25">
      <c r="B169" s="145" t="s">
        <v>85</v>
      </c>
      <c r="C169" s="146">
        <v>0</v>
      </c>
      <c r="D169" s="147">
        <v>-1</v>
      </c>
      <c r="E169" s="146">
        <v>421</v>
      </c>
      <c r="F169" s="147" t="str">
        <f t="shared" si="18"/>
        <v>-</v>
      </c>
      <c r="G169" s="146">
        <v>580</v>
      </c>
      <c r="H169" s="147">
        <f t="shared" si="18"/>
        <v>0.37767220902612819</v>
      </c>
      <c r="I169" s="146">
        <v>379</v>
      </c>
      <c r="J169" s="147">
        <f t="shared" si="18"/>
        <v>-0.34655172413793101</v>
      </c>
      <c r="K169" s="146">
        <v>596</v>
      </c>
      <c r="L169" s="147">
        <f t="shared" si="18"/>
        <v>0.57255936675461738</v>
      </c>
      <c r="M169" s="146">
        <v>405</v>
      </c>
      <c r="N169" s="147">
        <f t="shared" si="19"/>
        <v>-0.32046979865771807</v>
      </c>
    </row>
    <row r="170" spans="2:14" x14ac:dyDescent="0.25">
      <c r="B170" s="145" t="s">
        <v>87</v>
      </c>
      <c r="C170" s="146">
        <v>912</v>
      </c>
      <c r="D170" s="147">
        <v>0.2614107883817427</v>
      </c>
      <c r="E170" s="146">
        <v>932</v>
      </c>
      <c r="F170" s="147">
        <f t="shared" si="18"/>
        <v>2.1929824561403466E-2</v>
      </c>
      <c r="G170" s="146">
        <v>860</v>
      </c>
      <c r="H170" s="147">
        <f t="shared" si="18"/>
        <v>-7.7253218884120178E-2</v>
      </c>
      <c r="I170" s="146">
        <v>734</v>
      </c>
      <c r="J170" s="147">
        <f t="shared" si="18"/>
        <v>-0.14651162790697669</v>
      </c>
      <c r="K170" s="146">
        <v>989</v>
      </c>
      <c r="L170" s="147">
        <f t="shared" si="18"/>
        <v>0.34741144414168934</v>
      </c>
      <c r="M170" s="146">
        <v>1043</v>
      </c>
      <c r="N170" s="147">
        <f t="shared" si="19"/>
        <v>5.4600606673407492E-2</v>
      </c>
    </row>
    <row r="171" spans="2:14" x14ac:dyDescent="0.25">
      <c r="B171" s="145" t="s">
        <v>89</v>
      </c>
      <c r="C171" s="146">
        <v>104</v>
      </c>
      <c r="D171" s="147">
        <v>-0.79365079365079372</v>
      </c>
      <c r="E171" s="146">
        <v>357</v>
      </c>
      <c r="F171" s="147">
        <f t="shared" si="18"/>
        <v>2.4326923076923075</v>
      </c>
      <c r="G171" s="146">
        <v>390</v>
      </c>
      <c r="H171" s="147">
        <f t="shared" si="18"/>
        <v>9.243697478991586E-2</v>
      </c>
      <c r="I171" s="146">
        <v>486</v>
      </c>
      <c r="J171" s="147">
        <f t="shared" si="18"/>
        <v>0.24615384615384617</v>
      </c>
      <c r="K171" s="146">
        <v>421</v>
      </c>
      <c r="L171" s="147">
        <f t="shared" si="18"/>
        <v>-0.13374485596707819</v>
      </c>
      <c r="M171" s="146">
        <v>610</v>
      </c>
      <c r="N171" s="147">
        <f t="shared" si="19"/>
        <v>0.44893111638954863</v>
      </c>
    </row>
    <row r="172" spans="2:14" x14ac:dyDescent="0.25">
      <c r="B172" s="145" t="s">
        <v>91</v>
      </c>
      <c r="C172" s="146">
        <v>266</v>
      </c>
      <c r="D172" s="147">
        <v>-0.58307210031347956</v>
      </c>
      <c r="E172" s="146">
        <v>399</v>
      </c>
      <c r="F172" s="147">
        <f t="shared" si="18"/>
        <v>0.5</v>
      </c>
      <c r="G172" s="146">
        <v>484</v>
      </c>
      <c r="H172" s="147">
        <f t="shared" si="18"/>
        <v>0.21303258145363402</v>
      </c>
      <c r="I172" s="146">
        <v>565</v>
      </c>
      <c r="J172" s="147">
        <f t="shared" si="18"/>
        <v>0.1673553719008265</v>
      </c>
      <c r="K172" s="146">
        <v>622</v>
      </c>
      <c r="L172" s="147">
        <f t="shared" si="18"/>
        <v>0.10088495575221246</v>
      </c>
      <c r="M172" s="146">
        <v>699</v>
      </c>
      <c r="N172" s="147">
        <f t="shared" si="19"/>
        <v>0.1237942122186495</v>
      </c>
    </row>
    <row r="173" spans="2:14" x14ac:dyDescent="0.25">
      <c r="B173" s="145" t="s">
        <v>93</v>
      </c>
      <c r="C173" s="146">
        <v>143</v>
      </c>
      <c r="D173" s="147">
        <v>-0.80330123796423658</v>
      </c>
      <c r="E173" s="146">
        <v>704</v>
      </c>
      <c r="F173" s="147">
        <f t="shared" si="18"/>
        <v>3.9230769230769234</v>
      </c>
      <c r="G173" s="146">
        <v>676</v>
      </c>
      <c r="H173" s="147">
        <f t="shared" si="18"/>
        <v>-3.9772727272727293E-2</v>
      </c>
      <c r="I173" s="146">
        <v>1140</v>
      </c>
      <c r="J173" s="147">
        <f t="shared" si="18"/>
        <v>0.68639053254437865</v>
      </c>
      <c r="K173" s="146">
        <v>772</v>
      </c>
      <c r="L173" s="147">
        <f t="shared" si="18"/>
        <v>-0.32280701754385965</v>
      </c>
      <c r="M173" s="146"/>
      <c r="N173" s="147"/>
    </row>
    <row r="174" spans="2:14" x14ac:dyDescent="0.25">
      <c r="B174" s="145" t="s">
        <v>95</v>
      </c>
      <c r="C174" s="146">
        <v>445</v>
      </c>
      <c r="D174" s="147">
        <v>-0.46706586826347307</v>
      </c>
      <c r="E174" s="146">
        <v>799</v>
      </c>
      <c r="F174" s="147">
        <f t="shared" si="18"/>
        <v>0.79550561797752817</v>
      </c>
      <c r="G174" s="146">
        <v>717</v>
      </c>
      <c r="H174" s="147">
        <f t="shared" si="18"/>
        <v>-0.10262828535669588</v>
      </c>
      <c r="I174" s="146">
        <v>679</v>
      </c>
      <c r="J174" s="147">
        <f t="shared" si="18"/>
        <v>-5.2998605299860557E-2</v>
      </c>
      <c r="K174" s="146">
        <v>714</v>
      </c>
      <c r="L174" s="147">
        <f t="shared" si="18"/>
        <v>5.1546391752577359E-2</v>
      </c>
      <c r="M174" s="146"/>
      <c r="N174" s="147"/>
    </row>
    <row r="175" spans="2:14" ht="15.75" x14ac:dyDescent="0.25">
      <c r="B175" s="148" t="s">
        <v>32</v>
      </c>
      <c r="C175" s="149">
        <v>4658</v>
      </c>
      <c r="D175" s="150">
        <v>-0.4619383158137923</v>
      </c>
      <c r="E175" s="149">
        <v>7148</v>
      </c>
      <c r="F175" s="150">
        <f t="shared" si="18"/>
        <v>0.53456419063975957</v>
      </c>
      <c r="G175" s="149">
        <v>7881</v>
      </c>
      <c r="H175" s="150">
        <f t="shared" si="18"/>
        <v>0.10254616675993278</v>
      </c>
      <c r="I175" s="149">
        <v>8902</v>
      </c>
      <c r="J175" s="150">
        <f t="shared" si="18"/>
        <v>0.12955208729856627</v>
      </c>
      <c r="K175" s="149">
        <v>9750</v>
      </c>
      <c r="L175" s="150">
        <f t="shared" si="18"/>
        <v>9.5259492248932931E-2</v>
      </c>
      <c r="M175" s="149">
        <v>7937</v>
      </c>
      <c r="N175" s="150">
        <v>-3.9569215876089081E-2</v>
      </c>
    </row>
    <row r="176" spans="2:14" ht="6" customHeight="1" x14ac:dyDescent="0.25"/>
    <row r="177" spans="1:15" x14ac:dyDescent="0.25">
      <c r="B177" s="131" t="s">
        <v>57</v>
      </c>
      <c r="C177" s="131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</row>
    <row r="178" spans="1:15" x14ac:dyDescent="0.25">
      <c r="C178" s="151"/>
      <c r="K178" s="151"/>
      <c r="N178" s="103"/>
    </row>
    <row r="180" spans="1:15" ht="48.75" customHeight="1" thickBot="1" x14ac:dyDescent="0.3">
      <c r="B180" s="12" t="s">
        <v>284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119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120</v>
      </c>
    </row>
    <row r="182" spans="1:15" ht="22.5" thickTop="1" thickBot="1" x14ac:dyDescent="0.3">
      <c r="B182" s="152" t="str">
        <f>C182</f>
        <v>Bélgica</v>
      </c>
      <c r="C182" s="135" t="s">
        <v>121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f>$C$7</f>
        <v>2020</v>
      </c>
      <c r="D183" s="139"/>
      <c r="E183" s="140">
        <f>$E$7</f>
        <v>2021</v>
      </c>
      <c r="F183" s="139"/>
      <c r="G183" s="140">
        <f>$G$7</f>
        <v>2022</v>
      </c>
      <c r="H183" s="139"/>
      <c r="I183" s="140">
        <f>$I$7</f>
        <v>2023</v>
      </c>
      <c r="J183" s="139"/>
      <c r="K183" s="140">
        <f>$K$7</f>
        <v>2024</v>
      </c>
      <c r="L183" s="139"/>
      <c r="M183" s="140">
        <f>$M$7</f>
        <v>2025</v>
      </c>
      <c r="N183" s="141"/>
    </row>
    <row r="184" spans="1:15" ht="16.5" thickTop="1" thickBot="1" x14ac:dyDescent="0.3">
      <c r="B184" s="109"/>
      <c r="C184" s="142" t="s">
        <v>71</v>
      </c>
      <c r="D184" s="143" t="str">
        <f>CONCATENATE("var. ",RIGHT(C183,2),"/",RIGHT(C183-1,2))</f>
        <v>var. 20/19</v>
      </c>
      <c r="E184" s="144" t="s">
        <v>71</v>
      </c>
      <c r="F184" s="143" t="s">
        <v>252</v>
      </c>
      <c r="G184" s="144" t="s">
        <v>71</v>
      </c>
      <c r="H184" s="143" t="s">
        <v>252</v>
      </c>
      <c r="I184" s="144" t="s">
        <v>71</v>
      </c>
      <c r="J184" s="143" t="s">
        <v>252</v>
      </c>
      <c r="K184" s="144" t="s">
        <v>71</v>
      </c>
      <c r="L184" s="143" t="s">
        <v>252</v>
      </c>
      <c r="M184" s="144" t="s">
        <v>71</v>
      </c>
      <c r="N184" s="143" t="s">
        <v>277</v>
      </c>
    </row>
    <row r="185" spans="1:15" x14ac:dyDescent="0.25">
      <c r="A185" s="151"/>
      <c r="B185" s="145" t="s">
        <v>73</v>
      </c>
      <c r="C185" s="146">
        <v>171</v>
      </c>
      <c r="D185" s="147">
        <v>-0.10471204188481675</v>
      </c>
      <c r="E185" s="146">
        <v>81</v>
      </c>
      <c r="F185" s="147">
        <f t="shared" ref="F185:L197" si="20">IFERROR(E185/C185-1,"-")</f>
        <v>-0.52631578947368429</v>
      </c>
      <c r="G185" s="146">
        <v>235</v>
      </c>
      <c r="H185" s="147">
        <f t="shared" si="20"/>
        <v>1.9012345679012346</v>
      </c>
      <c r="I185" s="146">
        <v>204</v>
      </c>
      <c r="J185" s="147">
        <f t="shared" si="20"/>
        <v>-0.13191489361702124</v>
      </c>
      <c r="K185" s="146">
        <v>391</v>
      </c>
      <c r="L185" s="147">
        <f t="shared" si="20"/>
        <v>0.91666666666666674</v>
      </c>
      <c r="M185" s="146">
        <v>363</v>
      </c>
      <c r="N185" s="147">
        <f t="shared" ref="N185:N194" si="21">IFERROR(M185/K185-1,"-")</f>
        <v>-7.1611253196930957E-2</v>
      </c>
    </row>
    <row r="186" spans="1:15" x14ac:dyDescent="0.25">
      <c r="B186" s="145" t="s">
        <v>75</v>
      </c>
      <c r="C186" s="146">
        <v>80</v>
      </c>
      <c r="D186" s="147">
        <v>-0.58333333333333326</v>
      </c>
      <c r="E186" s="146">
        <v>56</v>
      </c>
      <c r="F186" s="147">
        <f t="shared" si="20"/>
        <v>-0.30000000000000004</v>
      </c>
      <c r="G186" s="146">
        <v>237</v>
      </c>
      <c r="H186" s="147">
        <f t="shared" si="20"/>
        <v>3.2321428571428568</v>
      </c>
      <c r="I186" s="146">
        <v>99</v>
      </c>
      <c r="J186" s="147">
        <f t="shared" si="20"/>
        <v>-0.58227848101265822</v>
      </c>
      <c r="K186" s="146">
        <v>311</v>
      </c>
      <c r="L186" s="147">
        <f t="shared" si="20"/>
        <v>2.1414141414141414</v>
      </c>
      <c r="M186" s="146">
        <v>340</v>
      </c>
      <c r="N186" s="147">
        <f t="shared" si="21"/>
        <v>9.3247588424437255E-2</v>
      </c>
    </row>
    <row r="187" spans="1:15" x14ac:dyDescent="0.25">
      <c r="B187" s="145" t="s">
        <v>77</v>
      </c>
      <c r="C187" s="146">
        <v>43</v>
      </c>
      <c r="D187" s="147">
        <v>-0.81623931623931623</v>
      </c>
      <c r="E187" s="146">
        <v>49</v>
      </c>
      <c r="F187" s="147">
        <f t="shared" si="20"/>
        <v>0.13953488372093026</v>
      </c>
      <c r="G187" s="146">
        <v>269</v>
      </c>
      <c r="H187" s="147">
        <f t="shared" si="20"/>
        <v>4.4897959183673466</v>
      </c>
      <c r="I187" s="146">
        <v>302</v>
      </c>
      <c r="J187" s="147">
        <f t="shared" si="20"/>
        <v>0.12267657992565062</v>
      </c>
      <c r="K187" s="146">
        <v>283</v>
      </c>
      <c r="L187" s="147">
        <f t="shared" si="20"/>
        <v>-6.29139072847682E-2</v>
      </c>
      <c r="M187" s="146">
        <v>336</v>
      </c>
      <c r="N187" s="147">
        <f t="shared" si="21"/>
        <v>0.1872791519434629</v>
      </c>
    </row>
    <row r="188" spans="1:15" x14ac:dyDescent="0.25">
      <c r="B188" s="145" t="s">
        <v>79</v>
      </c>
      <c r="C188" s="146">
        <v>0</v>
      </c>
      <c r="D188" s="147">
        <v>-1</v>
      </c>
      <c r="E188" s="146">
        <v>73</v>
      </c>
      <c r="F188" s="147" t="str">
        <f t="shared" si="20"/>
        <v>-</v>
      </c>
      <c r="G188" s="146">
        <v>157</v>
      </c>
      <c r="H188" s="147">
        <f t="shared" si="20"/>
        <v>1.1506849315068495</v>
      </c>
      <c r="I188" s="146">
        <v>114</v>
      </c>
      <c r="J188" s="147">
        <f t="shared" si="20"/>
        <v>-0.27388535031847139</v>
      </c>
      <c r="K188" s="146">
        <v>234</v>
      </c>
      <c r="L188" s="147">
        <f t="shared" si="20"/>
        <v>1.0526315789473686</v>
      </c>
      <c r="M188" s="146">
        <v>313</v>
      </c>
      <c r="N188" s="147">
        <f t="shared" si="21"/>
        <v>0.33760683760683752</v>
      </c>
    </row>
    <row r="189" spans="1:15" x14ac:dyDescent="0.25">
      <c r="B189" s="145" t="s">
        <v>81</v>
      </c>
      <c r="C189" s="146">
        <v>0</v>
      </c>
      <c r="D189" s="147">
        <v>-1</v>
      </c>
      <c r="E189" s="146">
        <v>68</v>
      </c>
      <c r="F189" s="147" t="str">
        <f t="shared" si="20"/>
        <v>-</v>
      </c>
      <c r="G189" s="146">
        <v>104</v>
      </c>
      <c r="H189" s="147">
        <f t="shared" si="20"/>
        <v>0.52941176470588225</v>
      </c>
      <c r="I189" s="146">
        <v>83</v>
      </c>
      <c r="J189" s="147">
        <f t="shared" si="20"/>
        <v>-0.20192307692307687</v>
      </c>
      <c r="K189" s="146">
        <v>66</v>
      </c>
      <c r="L189" s="147">
        <f t="shared" si="20"/>
        <v>-0.20481927710843373</v>
      </c>
      <c r="M189" s="146">
        <v>152</v>
      </c>
      <c r="N189" s="147">
        <f t="shared" si="21"/>
        <v>1.3030303030303032</v>
      </c>
    </row>
    <row r="190" spans="1:15" x14ac:dyDescent="0.25">
      <c r="B190" s="145" t="s">
        <v>122</v>
      </c>
      <c r="C190" s="146">
        <v>0</v>
      </c>
      <c r="D190" s="147">
        <v>-1</v>
      </c>
      <c r="E190" s="146">
        <v>84</v>
      </c>
      <c r="F190" s="147" t="str">
        <f t="shared" si="20"/>
        <v>-</v>
      </c>
      <c r="G190" s="146">
        <v>70</v>
      </c>
      <c r="H190" s="147">
        <f t="shared" si="20"/>
        <v>-0.16666666666666663</v>
      </c>
      <c r="I190" s="146">
        <v>73</v>
      </c>
      <c r="J190" s="147">
        <f t="shared" si="20"/>
        <v>4.2857142857142927E-2</v>
      </c>
      <c r="K190" s="146">
        <v>55</v>
      </c>
      <c r="L190" s="147">
        <f t="shared" si="20"/>
        <v>-0.24657534246575341</v>
      </c>
      <c r="M190" s="146">
        <v>105</v>
      </c>
      <c r="N190" s="147">
        <f t="shared" si="21"/>
        <v>0.90909090909090917</v>
      </c>
    </row>
    <row r="191" spans="1:15" x14ac:dyDescent="0.25">
      <c r="B191" s="145" t="s">
        <v>85</v>
      </c>
      <c r="C191" s="146">
        <v>0</v>
      </c>
      <c r="D191" s="147">
        <v>-1</v>
      </c>
      <c r="E191" s="146">
        <v>108</v>
      </c>
      <c r="F191" s="147" t="str">
        <f t="shared" si="20"/>
        <v>-</v>
      </c>
      <c r="G191" s="146">
        <v>209</v>
      </c>
      <c r="H191" s="147">
        <f t="shared" si="20"/>
        <v>0.93518518518518512</v>
      </c>
      <c r="I191" s="146">
        <v>111</v>
      </c>
      <c r="J191" s="147">
        <f t="shared" si="20"/>
        <v>-0.46889952153110048</v>
      </c>
      <c r="K191" s="146">
        <v>59</v>
      </c>
      <c r="L191" s="147">
        <f t="shared" si="20"/>
        <v>-0.46846846846846846</v>
      </c>
      <c r="M191" s="146">
        <v>178</v>
      </c>
      <c r="N191" s="147">
        <f t="shared" si="21"/>
        <v>2.0169491525423728</v>
      </c>
    </row>
    <row r="192" spans="1:15" x14ac:dyDescent="0.25">
      <c r="B192" s="145" t="s">
        <v>87</v>
      </c>
      <c r="C192" s="146">
        <v>120</v>
      </c>
      <c r="D192" s="147">
        <v>2</v>
      </c>
      <c r="E192" s="146">
        <v>67</v>
      </c>
      <c r="F192" s="147">
        <f t="shared" si="20"/>
        <v>-0.44166666666666665</v>
      </c>
      <c r="G192" s="146">
        <v>142</v>
      </c>
      <c r="H192" s="147">
        <f t="shared" si="20"/>
        <v>1.1194029850746268</v>
      </c>
      <c r="I192" s="146">
        <v>117</v>
      </c>
      <c r="J192" s="147">
        <f t="shared" si="20"/>
        <v>-0.176056338028169</v>
      </c>
      <c r="K192" s="146">
        <v>136</v>
      </c>
      <c r="L192" s="147">
        <f t="shared" si="20"/>
        <v>0.16239316239316248</v>
      </c>
      <c r="M192" s="146">
        <v>157</v>
      </c>
      <c r="N192" s="147">
        <f t="shared" si="21"/>
        <v>0.15441176470588225</v>
      </c>
    </row>
    <row r="193" spans="2:15" x14ac:dyDescent="0.25">
      <c r="B193" s="145" t="s">
        <v>89</v>
      </c>
      <c r="C193" s="146">
        <v>86</v>
      </c>
      <c r="D193" s="147">
        <v>2.5833333333333335</v>
      </c>
      <c r="E193" s="146">
        <v>72</v>
      </c>
      <c r="F193" s="147">
        <f t="shared" si="20"/>
        <v>-0.16279069767441856</v>
      </c>
      <c r="G193" s="146">
        <v>117</v>
      </c>
      <c r="H193" s="147">
        <f t="shared" si="20"/>
        <v>0.625</v>
      </c>
      <c r="I193" s="146">
        <v>120</v>
      </c>
      <c r="J193" s="147">
        <f t="shared" si="20"/>
        <v>2.564102564102555E-2</v>
      </c>
      <c r="K193" s="146">
        <v>158</v>
      </c>
      <c r="L193" s="147">
        <f t="shared" si="20"/>
        <v>0.31666666666666665</v>
      </c>
      <c r="M193" s="146">
        <v>143</v>
      </c>
      <c r="N193" s="147">
        <f t="shared" si="21"/>
        <v>-9.4936708860759444E-2</v>
      </c>
    </row>
    <row r="194" spans="2:15" x14ac:dyDescent="0.25">
      <c r="B194" s="145" t="s">
        <v>91</v>
      </c>
      <c r="C194" s="146">
        <v>74</v>
      </c>
      <c r="D194" s="147">
        <v>0.3214285714285714</v>
      </c>
      <c r="E194" s="146">
        <v>171</v>
      </c>
      <c r="F194" s="147">
        <f t="shared" si="20"/>
        <v>1.310810810810811</v>
      </c>
      <c r="G194" s="146">
        <v>83</v>
      </c>
      <c r="H194" s="147">
        <f t="shared" si="20"/>
        <v>-0.51461988304093564</v>
      </c>
      <c r="I194" s="146">
        <v>116</v>
      </c>
      <c r="J194" s="147">
        <f t="shared" si="20"/>
        <v>0.39759036144578319</v>
      </c>
      <c r="K194" s="146">
        <v>156</v>
      </c>
      <c r="L194" s="147">
        <f t="shared" si="20"/>
        <v>0.34482758620689657</v>
      </c>
      <c r="M194" s="146">
        <v>211</v>
      </c>
      <c r="N194" s="147">
        <f t="shared" si="21"/>
        <v>0.35256410256410264</v>
      </c>
    </row>
    <row r="195" spans="2:15" x14ac:dyDescent="0.25">
      <c r="B195" s="145" t="s">
        <v>93</v>
      </c>
      <c r="C195" s="146">
        <v>125</v>
      </c>
      <c r="D195" s="147">
        <v>3.3057851239669311E-2</v>
      </c>
      <c r="E195" s="146">
        <v>319</v>
      </c>
      <c r="F195" s="147">
        <f t="shared" si="20"/>
        <v>1.552</v>
      </c>
      <c r="G195" s="146">
        <v>157</v>
      </c>
      <c r="H195" s="147">
        <f t="shared" si="20"/>
        <v>-0.50783699059561127</v>
      </c>
      <c r="I195" s="146">
        <v>311</v>
      </c>
      <c r="J195" s="147">
        <f t="shared" si="20"/>
        <v>0.98089171974522293</v>
      </c>
      <c r="K195" s="146">
        <v>161</v>
      </c>
      <c r="L195" s="147">
        <f t="shared" si="20"/>
        <v>-0.48231511254019288</v>
      </c>
      <c r="M195" s="146"/>
      <c r="N195" s="147"/>
    </row>
    <row r="196" spans="2:15" x14ac:dyDescent="0.25">
      <c r="B196" s="145" t="s">
        <v>95</v>
      </c>
      <c r="C196" s="146">
        <v>36</v>
      </c>
      <c r="D196" s="147">
        <v>-0.68421052631578949</v>
      </c>
      <c r="E196" s="146">
        <v>167</v>
      </c>
      <c r="F196" s="147">
        <f t="shared" si="20"/>
        <v>3.6388888888888893</v>
      </c>
      <c r="G196" s="146">
        <v>112</v>
      </c>
      <c r="H196" s="147">
        <f t="shared" si="20"/>
        <v>-0.3293413173652695</v>
      </c>
      <c r="I196" s="146">
        <v>162</v>
      </c>
      <c r="J196" s="147">
        <f t="shared" si="20"/>
        <v>0.4464285714285714</v>
      </c>
      <c r="K196" s="146">
        <v>348</v>
      </c>
      <c r="L196" s="147">
        <f t="shared" si="20"/>
        <v>1.1481481481481484</v>
      </c>
      <c r="M196" s="146"/>
      <c r="N196" s="147"/>
    </row>
    <row r="197" spans="2:15" ht="15.75" x14ac:dyDescent="0.25">
      <c r="B197" s="148" t="s">
        <v>32</v>
      </c>
      <c r="C197" s="149">
        <v>788</v>
      </c>
      <c r="D197" s="150">
        <v>-0.39291217257318956</v>
      </c>
      <c r="E197" s="149">
        <v>1315</v>
      </c>
      <c r="F197" s="150">
        <f t="shared" si="20"/>
        <v>0.66878172588832485</v>
      </c>
      <c r="G197" s="149">
        <v>1892</v>
      </c>
      <c r="H197" s="150">
        <f t="shared" si="20"/>
        <v>0.43878326996197714</v>
      </c>
      <c r="I197" s="149">
        <v>1812</v>
      </c>
      <c r="J197" s="150">
        <f t="shared" si="20"/>
        <v>-4.228329809725162E-2</v>
      </c>
      <c r="K197" s="149">
        <v>2358</v>
      </c>
      <c r="L197" s="150">
        <f t="shared" si="20"/>
        <v>0.30132450331125837</v>
      </c>
      <c r="M197" s="149">
        <v>2298</v>
      </c>
      <c r="N197" s="150">
        <v>0.24283396430502968</v>
      </c>
    </row>
    <row r="198" spans="2:15" ht="6" customHeight="1" x14ac:dyDescent="0.25"/>
    <row r="199" spans="2:15" x14ac:dyDescent="0.25">
      <c r="B199" s="131" t="s">
        <v>57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C200" s="151"/>
      <c r="K200" s="151"/>
      <c r="N200" s="103"/>
    </row>
    <row r="202" spans="2:15" ht="48.75" customHeight="1" thickBot="1" x14ac:dyDescent="0.3">
      <c r="B202" s="12" t="s">
        <v>285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123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124</v>
      </c>
    </row>
    <row r="204" spans="2:15" ht="22.5" thickTop="1" thickBot="1" x14ac:dyDescent="0.3">
      <c r="B204" s="152" t="str">
        <f>C204</f>
        <v>Países Bajos</v>
      </c>
      <c r="C204" s="135" t="s">
        <v>125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f>$C$7</f>
        <v>2020</v>
      </c>
      <c r="D205" s="139"/>
      <c r="E205" s="140">
        <f>$E$7</f>
        <v>2021</v>
      </c>
      <c r="F205" s="139"/>
      <c r="G205" s="140">
        <f>$G$7</f>
        <v>2022</v>
      </c>
      <c r="H205" s="139"/>
      <c r="I205" s="140">
        <f>$I$7</f>
        <v>2023</v>
      </c>
      <c r="J205" s="139"/>
      <c r="K205" s="140">
        <f>$K$7</f>
        <v>2024</v>
      </c>
      <c r="L205" s="139"/>
      <c r="M205" s="140">
        <f>$M$7</f>
        <v>2025</v>
      </c>
      <c r="N205" s="141"/>
    </row>
    <row r="206" spans="2:15" ht="16.5" thickTop="1" thickBot="1" x14ac:dyDescent="0.3">
      <c r="B206" s="109"/>
      <c r="C206" s="142" t="s">
        <v>71</v>
      </c>
      <c r="D206" s="143" t="str">
        <f>CONCATENATE("var. ",RIGHT(C205,2),"/",RIGHT(C205-1,2))</f>
        <v>var. 20/19</v>
      </c>
      <c r="E206" s="144" t="s">
        <v>71</v>
      </c>
      <c r="F206" s="143" t="s">
        <v>252</v>
      </c>
      <c r="G206" s="144" t="s">
        <v>71</v>
      </c>
      <c r="H206" s="143" t="s">
        <v>252</v>
      </c>
      <c r="I206" s="144" t="s">
        <v>71</v>
      </c>
      <c r="J206" s="143" t="s">
        <v>252</v>
      </c>
      <c r="K206" s="144" t="s">
        <v>71</v>
      </c>
      <c r="L206" s="143" t="s">
        <v>252</v>
      </c>
      <c r="M206" s="144" t="s">
        <v>71</v>
      </c>
      <c r="N206" s="143" t="s">
        <v>277</v>
      </c>
    </row>
    <row r="207" spans="2:15" x14ac:dyDescent="0.25">
      <c r="B207" s="145" t="s">
        <v>73</v>
      </c>
      <c r="C207" s="146">
        <v>207</v>
      </c>
      <c r="D207" s="147">
        <v>-0.24175824175824179</v>
      </c>
      <c r="E207" s="146">
        <v>8</v>
      </c>
      <c r="F207" s="147">
        <f t="shared" ref="F207:L219" si="22">IFERROR(E207/C207-1,"-")</f>
        <v>-0.96135265700483097</v>
      </c>
      <c r="G207" s="146">
        <v>500</v>
      </c>
      <c r="H207" s="147">
        <f t="shared" si="22"/>
        <v>61.5</v>
      </c>
      <c r="I207" s="146">
        <v>587</v>
      </c>
      <c r="J207" s="147">
        <f t="shared" si="22"/>
        <v>0.17399999999999993</v>
      </c>
      <c r="K207" s="146">
        <v>618</v>
      </c>
      <c r="L207" s="147">
        <f t="shared" si="22"/>
        <v>5.2810902896081702E-2</v>
      </c>
      <c r="M207" s="146">
        <v>486</v>
      </c>
      <c r="N207" s="147">
        <f t="shared" ref="N207:N216" si="23">IFERROR(M207/K207-1,"-")</f>
        <v>-0.21359223300970875</v>
      </c>
    </row>
    <row r="208" spans="2:15" x14ac:dyDescent="0.25">
      <c r="B208" s="145" t="s">
        <v>75</v>
      </c>
      <c r="C208" s="146">
        <v>537</v>
      </c>
      <c r="D208" s="147">
        <v>1.5450236966824646</v>
      </c>
      <c r="E208" s="146">
        <v>17</v>
      </c>
      <c r="F208" s="147">
        <f t="shared" si="22"/>
        <v>-0.96834264432029793</v>
      </c>
      <c r="G208" s="146">
        <v>376</v>
      </c>
      <c r="H208" s="147">
        <f t="shared" si="22"/>
        <v>21.117647058823529</v>
      </c>
      <c r="I208" s="146">
        <v>398</v>
      </c>
      <c r="J208" s="147">
        <f t="shared" si="22"/>
        <v>5.8510638297872397E-2</v>
      </c>
      <c r="K208" s="146">
        <v>524</v>
      </c>
      <c r="L208" s="147">
        <f t="shared" si="22"/>
        <v>0.31658291457286425</v>
      </c>
      <c r="M208" s="146">
        <v>402</v>
      </c>
      <c r="N208" s="147">
        <f t="shared" si="23"/>
        <v>-0.23282442748091603</v>
      </c>
    </row>
    <row r="209" spans="2:15" x14ac:dyDescent="0.25">
      <c r="B209" s="145" t="s">
        <v>77</v>
      </c>
      <c r="C209" s="146">
        <v>95</v>
      </c>
      <c r="D209" s="147">
        <v>-0.65073529411764708</v>
      </c>
      <c r="E209" s="146">
        <v>49</v>
      </c>
      <c r="F209" s="147">
        <f t="shared" si="22"/>
        <v>-0.48421052631578942</v>
      </c>
      <c r="G209" s="146">
        <v>467</v>
      </c>
      <c r="H209" s="147">
        <f t="shared" si="22"/>
        <v>8.5306122448979593</v>
      </c>
      <c r="I209" s="146">
        <v>596</v>
      </c>
      <c r="J209" s="147">
        <f t="shared" si="22"/>
        <v>0.27623126338329773</v>
      </c>
      <c r="K209" s="146">
        <v>525</v>
      </c>
      <c r="L209" s="147">
        <f t="shared" si="22"/>
        <v>-0.11912751677852351</v>
      </c>
      <c r="M209" s="146">
        <v>329</v>
      </c>
      <c r="N209" s="147">
        <f t="shared" si="23"/>
        <v>-0.37333333333333329</v>
      </c>
    </row>
    <row r="210" spans="2:15" x14ac:dyDescent="0.25">
      <c r="B210" s="145" t="s">
        <v>79</v>
      </c>
      <c r="C210" s="146">
        <v>0</v>
      </c>
      <c r="D210" s="147">
        <v>-1</v>
      </c>
      <c r="E210" s="146">
        <v>45</v>
      </c>
      <c r="F210" s="147" t="str">
        <f t="shared" si="22"/>
        <v>-</v>
      </c>
      <c r="G210" s="146">
        <v>402</v>
      </c>
      <c r="H210" s="147">
        <f t="shared" si="22"/>
        <v>7.9333333333333336</v>
      </c>
      <c r="I210" s="146">
        <v>239</v>
      </c>
      <c r="J210" s="147">
        <f t="shared" si="22"/>
        <v>-0.40547263681592038</v>
      </c>
      <c r="K210" s="146">
        <v>478</v>
      </c>
      <c r="L210" s="147">
        <f t="shared" si="22"/>
        <v>1</v>
      </c>
      <c r="M210" s="146">
        <v>141</v>
      </c>
      <c r="N210" s="147">
        <f t="shared" si="23"/>
        <v>-0.70502092050209209</v>
      </c>
    </row>
    <row r="211" spans="2:15" x14ac:dyDescent="0.25">
      <c r="B211" s="145" t="s">
        <v>81</v>
      </c>
      <c r="C211" s="146">
        <v>0</v>
      </c>
      <c r="D211" s="147">
        <v>-1</v>
      </c>
      <c r="E211" s="146">
        <v>57</v>
      </c>
      <c r="F211" s="147" t="str">
        <f t="shared" si="22"/>
        <v>-</v>
      </c>
      <c r="G211" s="146">
        <v>372</v>
      </c>
      <c r="H211" s="147">
        <f t="shared" si="22"/>
        <v>5.5263157894736841</v>
      </c>
      <c r="I211" s="146">
        <v>200</v>
      </c>
      <c r="J211" s="147">
        <f t="shared" si="22"/>
        <v>-0.4623655913978495</v>
      </c>
      <c r="K211" s="146">
        <v>229</v>
      </c>
      <c r="L211" s="147">
        <f t="shared" si="22"/>
        <v>0.14500000000000002</v>
      </c>
      <c r="M211" s="146">
        <v>274</v>
      </c>
      <c r="N211" s="147">
        <f t="shared" si="23"/>
        <v>0.19650655021834051</v>
      </c>
    </row>
    <row r="212" spans="2:15" x14ac:dyDescent="0.25">
      <c r="B212" s="145" t="s">
        <v>83</v>
      </c>
      <c r="C212" s="146">
        <v>0</v>
      </c>
      <c r="D212" s="147">
        <v>-1</v>
      </c>
      <c r="E212" s="146">
        <v>52</v>
      </c>
      <c r="F212" s="147" t="str">
        <f t="shared" si="22"/>
        <v>-</v>
      </c>
      <c r="G212" s="146">
        <v>448</v>
      </c>
      <c r="H212" s="147">
        <f t="shared" si="22"/>
        <v>7.615384615384615</v>
      </c>
      <c r="I212" s="146">
        <v>127</v>
      </c>
      <c r="J212" s="147">
        <f t="shared" si="22"/>
        <v>-0.71651785714285721</v>
      </c>
      <c r="K212" s="146">
        <v>314</v>
      </c>
      <c r="L212" s="147">
        <f t="shared" si="22"/>
        <v>1.4724409448818898</v>
      </c>
      <c r="M212" s="146">
        <v>155</v>
      </c>
      <c r="N212" s="147">
        <f t="shared" si="23"/>
        <v>-0.50636942675159236</v>
      </c>
    </row>
    <row r="213" spans="2:15" x14ac:dyDescent="0.25">
      <c r="B213" s="145" t="s">
        <v>85</v>
      </c>
      <c r="C213" s="146">
        <v>0</v>
      </c>
      <c r="D213" s="147">
        <v>-1</v>
      </c>
      <c r="E213" s="146">
        <v>37</v>
      </c>
      <c r="F213" s="147" t="str">
        <f t="shared" si="22"/>
        <v>-</v>
      </c>
      <c r="G213" s="146">
        <v>155</v>
      </c>
      <c r="H213" s="147">
        <f t="shared" si="22"/>
        <v>3.1891891891891895</v>
      </c>
      <c r="I213" s="146">
        <v>176</v>
      </c>
      <c r="J213" s="147">
        <f t="shared" si="22"/>
        <v>0.13548387096774195</v>
      </c>
      <c r="K213" s="146">
        <v>134</v>
      </c>
      <c r="L213" s="147">
        <f t="shared" si="22"/>
        <v>-0.23863636363636365</v>
      </c>
      <c r="M213" s="146">
        <v>130</v>
      </c>
      <c r="N213" s="147">
        <f t="shared" si="23"/>
        <v>-2.9850746268656692E-2</v>
      </c>
    </row>
    <row r="214" spans="2:15" x14ac:dyDescent="0.25">
      <c r="B214" s="145" t="s">
        <v>87</v>
      </c>
      <c r="C214" s="146">
        <v>19</v>
      </c>
      <c r="D214" s="147">
        <v>-0.93470790378006874</v>
      </c>
      <c r="E214" s="146">
        <v>76</v>
      </c>
      <c r="F214" s="147">
        <f t="shared" si="22"/>
        <v>3</v>
      </c>
      <c r="G214" s="146">
        <v>383</v>
      </c>
      <c r="H214" s="147">
        <f t="shared" si="22"/>
        <v>4.0394736842105265</v>
      </c>
      <c r="I214" s="146">
        <v>153</v>
      </c>
      <c r="J214" s="147">
        <f t="shared" si="22"/>
        <v>-0.60052219321148825</v>
      </c>
      <c r="K214" s="146">
        <v>219</v>
      </c>
      <c r="L214" s="147">
        <f t="shared" si="22"/>
        <v>0.43137254901960786</v>
      </c>
      <c r="M214" s="146">
        <v>98</v>
      </c>
      <c r="N214" s="147">
        <f t="shared" si="23"/>
        <v>-0.55251141552511418</v>
      </c>
    </row>
    <row r="215" spans="2:15" x14ac:dyDescent="0.25">
      <c r="B215" s="145" t="s">
        <v>89</v>
      </c>
      <c r="C215" s="146">
        <v>6</v>
      </c>
      <c r="D215" s="147">
        <v>-0.94827586206896552</v>
      </c>
      <c r="E215" s="146">
        <v>243</v>
      </c>
      <c r="F215" s="147">
        <f t="shared" si="22"/>
        <v>39.5</v>
      </c>
      <c r="G215" s="146">
        <v>333</v>
      </c>
      <c r="H215" s="147">
        <f t="shared" si="22"/>
        <v>0.37037037037037046</v>
      </c>
      <c r="I215" s="146">
        <v>194</v>
      </c>
      <c r="J215" s="147">
        <f t="shared" si="22"/>
        <v>-0.41741741741741745</v>
      </c>
      <c r="K215" s="146">
        <v>121</v>
      </c>
      <c r="L215" s="147">
        <f t="shared" si="22"/>
        <v>-0.37628865979381443</v>
      </c>
      <c r="M215" s="146">
        <v>95</v>
      </c>
      <c r="N215" s="147">
        <f t="shared" si="23"/>
        <v>-0.21487603305785119</v>
      </c>
    </row>
    <row r="216" spans="2:15" x14ac:dyDescent="0.25">
      <c r="B216" s="145" t="s">
        <v>91</v>
      </c>
      <c r="C216" s="146">
        <v>5</v>
      </c>
      <c r="D216" s="147">
        <v>-0.97942386831275718</v>
      </c>
      <c r="E216" s="146">
        <v>136</v>
      </c>
      <c r="F216" s="147">
        <f t="shared" si="22"/>
        <v>26.2</v>
      </c>
      <c r="G216" s="146">
        <v>458</v>
      </c>
      <c r="H216" s="147">
        <f t="shared" si="22"/>
        <v>2.3676470588235294</v>
      </c>
      <c r="I216" s="146">
        <v>266</v>
      </c>
      <c r="J216" s="147">
        <f t="shared" si="22"/>
        <v>-0.41921397379912662</v>
      </c>
      <c r="K216" s="146">
        <v>155</v>
      </c>
      <c r="L216" s="147">
        <f t="shared" si="22"/>
        <v>-0.41729323308270672</v>
      </c>
      <c r="M216" s="146">
        <v>181</v>
      </c>
      <c r="N216" s="147">
        <f t="shared" si="23"/>
        <v>0.16774193548387095</v>
      </c>
    </row>
    <row r="217" spans="2:15" x14ac:dyDescent="0.25">
      <c r="B217" s="145" t="s">
        <v>93</v>
      </c>
      <c r="C217" s="146">
        <v>24</v>
      </c>
      <c r="D217" s="147">
        <v>-0.89090909090909087</v>
      </c>
      <c r="E217" s="146">
        <v>317</v>
      </c>
      <c r="F217" s="147">
        <f t="shared" si="22"/>
        <v>12.208333333333334</v>
      </c>
      <c r="G217" s="146">
        <v>713</v>
      </c>
      <c r="H217" s="147">
        <f t="shared" si="22"/>
        <v>1.2492113564668768</v>
      </c>
      <c r="I217" s="146">
        <v>322</v>
      </c>
      <c r="J217" s="147">
        <f t="shared" si="22"/>
        <v>-0.54838709677419351</v>
      </c>
      <c r="K217" s="146">
        <v>268</v>
      </c>
      <c r="L217" s="147">
        <f t="shared" si="22"/>
        <v>-0.16770186335403725</v>
      </c>
      <c r="M217" s="146"/>
      <c r="N217" s="147"/>
    </row>
    <row r="218" spans="2:15" x14ac:dyDescent="0.25">
      <c r="B218" s="145" t="s">
        <v>95</v>
      </c>
      <c r="C218" s="146">
        <v>14</v>
      </c>
      <c r="D218" s="147">
        <v>-0.92893401015228427</v>
      </c>
      <c r="E218" s="146">
        <v>348</v>
      </c>
      <c r="F218" s="147">
        <f t="shared" si="22"/>
        <v>23.857142857142858</v>
      </c>
      <c r="G218" s="146">
        <v>374</v>
      </c>
      <c r="H218" s="147">
        <f t="shared" si="22"/>
        <v>7.4712643678160884E-2</v>
      </c>
      <c r="I218" s="146">
        <v>365</v>
      </c>
      <c r="J218" s="147">
        <f t="shared" si="22"/>
        <v>-2.4064171122994638E-2</v>
      </c>
      <c r="K218" s="146">
        <v>215</v>
      </c>
      <c r="L218" s="147">
        <f t="shared" si="22"/>
        <v>-0.41095890410958902</v>
      </c>
      <c r="M218" s="146"/>
      <c r="N218" s="147"/>
    </row>
    <row r="219" spans="2:15" ht="15.75" x14ac:dyDescent="0.25">
      <c r="B219" s="148" t="s">
        <v>32</v>
      </c>
      <c r="C219" s="149">
        <v>940</v>
      </c>
      <c r="D219" s="150">
        <v>-0.60669456066945604</v>
      </c>
      <c r="E219" s="149">
        <v>1385</v>
      </c>
      <c r="F219" s="150">
        <f t="shared" si="22"/>
        <v>0.47340425531914887</v>
      </c>
      <c r="G219" s="149">
        <v>4981</v>
      </c>
      <c r="H219" s="150">
        <f t="shared" si="22"/>
        <v>2.5963898916967509</v>
      </c>
      <c r="I219" s="149">
        <v>3623</v>
      </c>
      <c r="J219" s="150">
        <f t="shared" si="22"/>
        <v>-0.27263601686408356</v>
      </c>
      <c r="K219" s="149">
        <v>3800</v>
      </c>
      <c r="L219" s="150">
        <f t="shared" si="22"/>
        <v>4.8854540436102711E-2</v>
      </c>
      <c r="M219" s="149">
        <v>2291</v>
      </c>
      <c r="N219" s="150">
        <v>-0.3093156466686765</v>
      </c>
    </row>
    <row r="220" spans="2:15" ht="6" customHeight="1" x14ac:dyDescent="0.25"/>
    <row r="221" spans="2:15" x14ac:dyDescent="0.25">
      <c r="B221" s="131" t="s">
        <v>57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C222" s="151"/>
      <c r="K222" s="151"/>
      <c r="N222" s="103"/>
    </row>
    <row r="224" spans="2:15" ht="48.75" customHeight="1" thickBot="1" x14ac:dyDescent="0.3">
      <c r="B224" s="12" t="s">
        <v>286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149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150</v>
      </c>
    </row>
    <row r="226" spans="2:15" ht="22.5" thickTop="1" thickBot="1" x14ac:dyDescent="0.3">
      <c r="B226" s="152" t="str">
        <f>C226</f>
        <v>Dinamarca</v>
      </c>
      <c r="C226" s="135" t="s">
        <v>130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f>$C$7</f>
        <v>2020</v>
      </c>
      <c r="D227" s="139"/>
      <c r="E227" s="140">
        <f>$E$7</f>
        <v>2021</v>
      </c>
      <c r="F227" s="139"/>
      <c r="G227" s="140">
        <f>$G$7</f>
        <v>2022</v>
      </c>
      <c r="H227" s="139"/>
      <c r="I227" s="140">
        <f>$I$7</f>
        <v>2023</v>
      </c>
      <c r="J227" s="139"/>
      <c r="K227" s="140">
        <f>$K$7</f>
        <v>2024</v>
      </c>
      <c r="L227" s="139"/>
      <c r="M227" s="140">
        <f>$M$7</f>
        <v>2025</v>
      </c>
      <c r="N227" s="141"/>
    </row>
    <row r="228" spans="2:15" ht="16.5" thickTop="1" thickBot="1" x14ac:dyDescent="0.3">
      <c r="B228" s="109"/>
      <c r="C228" s="142" t="s">
        <v>71</v>
      </c>
      <c r="D228" s="143" t="str">
        <f>CONCATENATE("var. ",RIGHT(C227,2),"/",RIGHT(C227-1,2))</f>
        <v>var. 20/19</v>
      </c>
      <c r="E228" s="144" t="s">
        <v>71</v>
      </c>
      <c r="F228" s="143" t="s">
        <v>252</v>
      </c>
      <c r="G228" s="144" t="s">
        <v>71</v>
      </c>
      <c r="H228" s="143" t="s">
        <v>252</v>
      </c>
      <c r="I228" s="144" t="s">
        <v>71</v>
      </c>
      <c r="J228" s="143" t="s">
        <v>252</v>
      </c>
      <c r="K228" s="144" t="s">
        <v>71</v>
      </c>
      <c r="L228" s="143" t="s">
        <v>252</v>
      </c>
      <c r="M228" s="144" t="s">
        <v>71</v>
      </c>
      <c r="N228" s="143" t="s">
        <v>277</v>
      </c>
    </row>
    <row r="229" spans="2:15" x14ac:dyDescent="0.25">
      <c r="B229" s="145" t="s">
        <v>73</v>
      </c>
      <c r="C229" s="146">
        <v>324</v>
      </c>
      <c r="D229" s="147">
        <v>1.7457627118644066</v>
      </c>
      <c r="E229" s="146">
        <v>5</v>
      </c>
      <c r="F229" s="147">
        <f t="shared" ref="F229:L241" si="24">IFERROR(E229/C229-1,"-")</f>
        <v>-0.98456790123456794</v>
      </c>
      <c r="G229" s="146">
        <v>202</v>
      </c>
      <c r="H229" s="147">
        <f t="shared" si="24"/>
        <v>39.4</v>
      </c>
      <c r="I229" s="146">
        <v>130</v>
      </c>
      <c r="J229" s="147">
        <f t="shared" si="24"/>
        <v>-0.35643564356435642</v>
      </c>
      <c r="K229" s="146">
        <v>167</v>
      </c>
      <c r="L229" s="147">
        <f t="shared" si="24"/>
        <v>0.28461538461538471</v>
      </c>
      <c r="M229" s="146">
        <v>68</v>
      </c>
      <c r="N229" s="147">
        <f t="shared" ref="N229:N238" si="25">IFERROR(M229/K229-1,"-")</f>
        <v>-0.59281437125748504</v>
      </c>
    </row>
    <row r="230" spans="2:15" x14ac:dyDescent="0.25">
      <c r="B230" s="145" t="s">
        <v>75</v>
      </c>
      <c r="C230" s="146">
        <v>73</v>
      </c>
      <c r="D230" s="147">
        <v>-7.5949367088607556E-2</v>
      </c>
      <c r="E230" s="146">
        <v>5</v>
      </c>
      <c r="F230" s="147">
        <f t="shared" si="24"/>
        <v>-0.93150684931506844</v>
      </c>
      <c r="G230" s="146">
        <v>191</v>
      </c>
      <c r="H230" s="147">
        <f t="shared" si="24"/>
        <v>37.200000000000003</v>
      </c>
      <c r="I230" s="146">
        <v>31</v>
      </c>
      <c r="J230" s="147">
        <f t="shared" si="24"/>
        <v>-0.83769633507853403</v>
      </c>
      <c r="K230" s="146">
        <v>140</v>
      </c>
      <c r="L230" s="147">
        <f t="shared" si="24"/>
        <v>3.5161290322580649</v>
      </c>
      <c r="M230" s="146">
        <v>144</v>
      </c>
      <c r="N230" s="147">
        <f t="shared" si="25"/>
        <v>2.857142857142847E-2</v>
      </c>
    </row>
    <row r="231" spans="2:15" x14ac:dyDescent="0.25">
      <c r="B231" s="145" t="s">
        <v>77</v>
      </c>
      <c r="C231" s="146">
        <v>168</v>
      </c>
      <c r="D231" s="147">
        <v>1.9473684210526314</v>
      </c>
      <c r="E231" s="146">
        <v>7</v>
      </c>
      <c r="F231" s="147">
        <f t="shared" si="24"/>
        <v>-0.95833333333333337</v>
      </c>
      <c r="G231" s="146">
        <v>85</v>
      </c>
      <c r="H231" s="147">
        <f t="shared" si="24"/>
        <v>11.142857142857142</v>
      </c>
      <c r="I231" s="146">
        <v>28</v>
      </c>
      <c r="J231" s="147">
        <f t="shared" si="24"/>
        <v>-0.67058823529411771</v>
      </c>
      <c r="K231" s="146">
        <v>62</v>
      </c>
      <c r="L231" s="147">
        <f t="shared" si="24"/>
        <v>1.2142857142857144</v>
      </c>
      <c r="M231" s="146">
        <v>26</v>
      </c>
      <c r="N231" s="147">
        <f t="shared" si="25"/>
        <v>-0.58064516129032251</v>
      </c>
    </row>
    <row r="232" spans="2:15" x14ac:dyDescent="0.25">
      <c r="B232" s="145" t="s">
        <v>79</v>
      </c>
      <c r="C232" s="146">
        <v>0</v>
      </c>
      <c r="D232" s="147">
        <v>-1</v>
      </c>
      <c r="E232" s="146">
        <v>9</v>
      </c>
      <c r="F232" s="147" t="str">
        <f t="shared" si="24"/>
        <v>-</v>
      </c>
      <c r="G232" s="146">
        <v>17</v>
      </c>
      <c r="H232" s="147">
        <f t="shared" si="24"/>
        <v>0.88888888888888884</v>
      </c>
      <c r="I232" s="146">
        <v>42</v>
      </c>
      <c r="J232" s="147">
        <f t="shared" si="24"/>
        <v>1.4705882352941178</v>
      </c>
      <c r="K232" s="146">
        <v>2</v>
      </c>
      <c r="L232" s="147">
        <f t="shared" si="24"/>
        <v>-0.95238095238095233</v>
      </c>
      <c r="M232" s="146">
        <v>44</v>
      </c>
      <c r="N232" s="147">
        <f t="shared" si="25"/>
        <v>21</v>
      </c>
    </row>
    <row r="233" spans="2:15" x14ac:dyDescent="0.25">
      <c r="B233" s="145" t="s">
        <v>81</v>
      </c>
      <c r="C233" s="146">
        <v>0</v>
      </c>
      <c r="D233" s="147">
        <v>-1</v>
      </c>
      <c r="E233" s="146">
        <v>12</v>
      </c>
      <c r="F233" s="147" t="str">
        <f t="shared" si="24"/>
        <v>-</v>
      </c>
      <c r="G233" s="146">
        <v>21</v>
      </c>
      <c r="H233" s="147">
        <f t="shared" si="24"/>
        <v>0.75</v>
      </c>
      <c r="I233" s="146">
        <v>10</v>
      </c>
      <c r="J233" s="147">
        <f t="shared" si="24"/>
        <v>-0.52380952380952384</v>
      </c>
      <c r="K233" s="146">
        <v>0</v>
      </c>
      <c r="L233" s="147">
        <f t="shared" si="24"/>
        <v>-1</v>
      </c>
      <c r="M233" s="146">
        <v>24</v>
      </c>
      <c r="N233" s="147" t="str">
        <f t="shared" si="25"/>
        <v>-</v>
      </c>
    </row>
    <row r="234" spans="2:15" x14ac:dyDescent="0.25">
      <c r="B234" s="145" t="s">
        <v>83</v>
      </c>
      <c r="C234" s="146">
        <v>0</v>
      </c>
      <c r="D234" s="147">
        <v>-1</v>
      </c>
      <c r="E234" s="146">
        <v>0</v>
      </c>
      <c r="F234" s="147" t="str">
        <f t="shared" si="24"/>
        <v>-</v>
      </c>
      <c r="G234" s="146">
        <v>7</v>
      </c>
      <c r="H234" s="147" t="str">
        <f t="shared" si="24"/>
        <v>-</v>
      </c>
      <c r="I234" s="146">
        <v>2</v>
      </c>
      <c r="J234" s="147">
        <f t="shared" si="24"/>
        <v>-0.7142857142857143</v>
      </c>
      <c r="K234" s="146">
        <v>176</v>
      </c>
      <c r="L234" s="147">
        <f t="shared" si="24"/>
        <v>87</v>
      </c>
      <c r="M234" s="146">
        <v>4</v>
      </c>
      <c r="N234" s="147">
        <f t="shared" si="25"/>
        <v>-0.97727272727272729</v>
      </c>
    </row>
    <row r="235" spans="2:15" x14ac:dyDescent="0.25">
      <c r="B235" s="145" t="s">
        <v>85</v>
      </c>
      <c r="C235" s="146">
        <v>0</v>
      </c>
      <c r="D235" s="147">
        <v>-1</v>
      </c>
      <c r="E235" s="146">
        <v>2</v>
      </c>
      <c r="F235" s="147" t="str">
        <f t="shared" si="24"/>
        <v>-</v>
      </c>
      <c r="G235" s="146">
        <v>17</v>
      </c>
      <c r="H235" s="147">
        <f t="shared" si="24"/>
        <v>7.5</v>
      </c>
      <c r="I235" s="146">
        <v>35</v>
      </c>
      <c r="J235" s="147">
        <f t="shared" si="24"/>
        <v>1.0588235294117645</v>
      </c>
      <c r="K235" s="146">
        <v>45</v>
      </c>
      <c r="L235" s="147">
        <f t="shared" si="24"/>
        <v>0.28571428571428581</v>
      </c>
      <c r="M235" s="146">
        <v>45</v>
      </c>
      <c r="N235" s="147">
        <f t="shared" si="25"/>
        <v>0</v>
      </c>
    </row>
    <row r="236" spans="2:15" x14ac:dyDescent="0.25">
      <c r="B236" s="145" t="s">
        <v>87</v>
      </c>
      <c r="C236" s="146">
        <v>1</v>
      </c>
      <c r="D236" s="147">
        <v>0</v>
      </c>
      <c r="E236" s="146">
        <v>0</v>
      </c>
      <c r="F236" s="147">
        <f t="shared" si="24"/>
        <v>-1</v>
      </c>
      <c r="G236" s="146">
        <v>63</v>
      </c>
      <c r="H236" s="147" t="str">
        <f t="shared" si="24"/>
        <v>-</v>
      </c>
      <c r="I236" s="146">
        <v>6</v>
      </c>
      <c r="J236" s="147">
        <f t="shared" si="24"/>
        <v>-0.90476190476190477</v>
      </c>
      <c r="K236" s="146">
        <v>4</v>
      </c>
      <c r="L236" s="147">
        <f t="shared" si="24"/>
        <v>-0.33333333333333337</v>
      </c>
      <c r="M236" s="146">
        <v>2</v>
      </c>
      <c r="N236" s="147">
        <f t="shared" si="25"/>
        <v>-0.5</v>
      </c>
    </row>
    <row r="237" spans="2:15" x14ac:dyDescent="0.25">
      <c r="B237" s="145" t="s">
        <v>89</v>
      </c>
      <c r="C237" s="146">
        <v>2</v>
      </c>
      <c r="D237" s="147">
        <v>0</v>
      </c>
      <c r="E237" s="146">
        <v>1</v>
      </c>
      <c r="F237" s="147">
        <f t="shared" si="24"/>
        <v>-0.5</v>
      </c>
      <c r="G237" s="146">
        <v>27</v>
      </c>
      <c r="H237" s="147">
        <f t="shared" si="24"/>
        <v>26</v>
      </c>
      <c r="I237" s="146">
        <v>14</v>
      </c>
      <c r="J237" s="147">
        <f t="shared" si="24"/>
        <v>-0.48148148148148151</v>
      </c>
      <c r="K237" s="146">
        <v>36</v>
      </c>
      <c r="L237" s="147">
        <f t="shared" si="24"/>
        <v>1.5714285714285716</v>
      </c>
      <c r="M237" s="146">
        <v>8</v>
      </c>
      <c r="N237" s="147">
        <f t="shared" si="25"/>
        <v>-0.77777777777777779</v>
      </c>
    </row>
    <row r="238" spans="2:15" x14ac:dyDescent="0.25">
      <c r="B238" s="145" t="s">
        <v>91</v>
      </c>
      <c r="C238" s="146">
        <v>0</v>
      </c>
      <c r="D238" s="147">
        <v>-1</v>
      </c>
      <c r="E238" s="146">
        <v>100</v>
      </c>
      <c r="F238" s="147" t="str">
        <f t="shared" si="24"/>
        <v>-</v>
      </c>
      <c r="G238" s="146">
        <v>46</v>
      </c>
      <c r="H238" s="147">
        <f t="shared" si="24"/>
        <v>-0.54</v>
      </c>
      <c r="I238" s="146">
        <v>6</v>
      </c>
      <c r="J238" s="147">
        <f t="shared" si="24"/>
        <v>-0.86956521739130432</v>
      </c>
      <c r="K238" s="146">
        <v>24</v>
      </c>
      <c r="L238" s="147">
        <f t="shared" si="24"/>
        <v>3</v>
      </c>
      <c r="M238" s="146">
        <v>22</v>
      </c>
      <c r="N238" s="147">
        <f t="shared" si="25"/>
        <v>-8.333333333333337E-2</v>
      </c>
    </row>
    <row r="239" spans="2:15" x14ac:dyDescent="0.25">
      <c r="B239" s="145" t="s">
        <v>93</v>
      </c>
      <c r="C239" s="146">
        <v>18</v>
      </c>
      <c r="D239" s="147">
        <v>-0.53846153846153844</v>
      </c>
      <c r="E239" s="146">
        <v>57</v>
      </c>
      <c r="F239" s="147">
        <f t="shared" si="24"/>
        <v>2.1666666666666665</v>
      </c>
      <c r="G239" s="146">
        <v>40</v>
      </c>
      <c r="H239" s="147">
        <f t="shared" si="24"/>
        <v>-0.29824561403508776</v>
      </c>
      <c r="I239" s="146">
        <v>82</v>
      </c>
      <c r="J239" s="147">
        <f t="shared" si="24"/>
        <v>1.0499999999999998</v>
      </c>
      <c r="K239" s="146">
        <v>116</v>
      </c>
      <c r="L239" s="147">
        <f t="shared" si="24"/>
        <v>0.41463414634146334</v>
      </c>
      <c r="M239" s="146"/>
      <c r="N239" s="147"/>
    </row>
    <row r="240" spans="2:15" x14ac:dyDescent="0.25">
      <c r="B240" s="145" t="s">
        <v>95</v>
      </c>
      <c r="C240" s="146">
        <v>2</v>
      </c>
      <c r="D240" s="147">
        <v>-0.97297297297297303</v>
      </c>
      <c r="E240" s="146">
        <v>77</v>
      </c>
      <c r="F240" s="147">
        <f t="shared" si="24"/>
        <v>37.5</v>
      </c>
      <c r="G240" s="146">
        <v>101</v>
      </c>
      <c r="H240" s="147">
        <f t="shared" si="24"/>
        <v>0.31168831168831179</v>
      </c>
      <c r="I240" s="146">
        <v>34</v>
      </c>
      <c r="J240" s="147">
        <f t="shared" si="24"/>
        <v>-0.66336633663366329</v>
      </c>
      <c r="K240" s="146">
        <v>10</v>
      </c>
      <c r="L240" s="147">
        <f t="shared" si="24"/>
        <v>-0.70588235294117641</v>
      </c>
      <c r="M240" s="146"/>
      <c r="N240" s="147"/>
    </row>
    <row r="241" spans="2:15" ht="15.75" x14ac:dyDescent="0.25">
      <c r="B241" s="148" t="s">
        <v>32</v>
      </c>
      <c r="C241" s="149">
        <v>599</v>
      </c>
      <c r="D241" s="150">
        <v>0.3490990990990992</v>
      </c>
      <c r="E241" s="149">
        <v>275</v>
      </c>
      <c r="F241" s="150">
        <f t="shared" si="24"/>
        <v>-0.54090150250417368</v>
      </c>
      <c r="G241" s="149">
        <v>817</v>
      </c>
      <c r="H241" s="150">
        <f t="shared" si="24"/>
        <v>1.9709090909090907</v>
      </c>
      <c r="I241" s="149">
        <v>420</v>
      </c>
      <c r="J241" s="150">
        <f t="shared" si="24"/>
        <v>-0.48592411260709911</v>
      </c>
      <c r="K241" s="149">
        <v>782</v>
      </c>
      <c r="L241" s="150">
        <f t="shared" si="24"/>
        <v>0.86190476190476195</v>
      </c>
      <c r="M241" s="149">
        <v>387</v>
      </c>
      <c r="N241" s="150">
        <v>-0.41006097560975607</v>
      </c>
    </row>
    <row r="242" spans="2:15" ht="6" customHeight="1" x14ac:dyDescent="0.25"/>
    <row r="243" spans="2:15" x14ac:dyDescent="0.25">
      <c r="B243" s="131" t="s">
        <v>57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N244" s="103"/>
    </row>
    <row r="250" spans="2:15" ht="48.75" customHeight="1" thickBot="1" x14ac:dyDescent="0.3">
      <c r="B250" s="12" t="s">
        <v>287</v>
      </c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" t="s">
        <v>149</v>
      </c>
    </row>
    <row r="251" spans="2:15" ht="10.5" customHeight="1" thickBot="1" x14ac:dyDescent="0.3">
      <c r="B251" s="132"/>
      <c r="C251" s="133"/>
      <c r="D251" s="132"/>
      <c r="E251" s="132"/>
      <c r="F251" s="132"/>
      <c r="G251" s="132"/>
      <c r="H251" s="132"/>
      <c r="I251" s="132"/>
      <c r="J251" s="132"/>
      <c r="K251" s="132"/>
      <c r="L251" s="132"/>
      <c r="M251" s="4"/>
      <c r="N251" s="4"/>
      <c r="O251" s="1" t="s">
        <v>150</v>
      </c>
    </row>
    <row r="252" spans="2:15" ht="22.5" thickTop="1" thickBot="1" x14ac:dyDescent="0.3">
      <c r="B252" s="152" t="str">
        <f>C252</f>
        <v>Suecia</v>
      </c>
      <c r="C252" s="135" t="s">
        <v>133</v>
      </c>
      <c r="D252" s="136"/>
      <c r="E252" s="136"/>
      <c r="F252" s="136"/>
      <c r="G252" s="136"/>
      <c r="H252" s="136"/>
      <c r="I252" s="136"/>
      <c r="J252" s="136"/>
      <c r="K252" s="136"/>
      <c r="L252" s="136"/>
      <c r="M252" s="136"/>
      <c r="N252" s="136"/>
    </row>
    <row r="253" spans="2:15" ht="22.5" thickTop="1" thickBot="1" x14ac:dyDescent="0.3">
      <c r="B253" s="137"/>
      <c r="C253" s="138">
        <f>$C$7</f>
        <v>2020</v>
      </c>
      <c r="D253" s="139"/>
      <c r="E253" s="140">
        <f>$E$7</f>
        <v>2021</v>
      </c>
      <c r="F253" s="139"/>
      <c r="G253" s="140">
        <f>$G$7</f>
        <v>2022</v>
      </c>
      <c r="H253" s="139"/>
      <c r="I253" s="140">
        <f>$I$7</f>
        <v>2023</v>
      </c>
      <c r="J253" s="139"/>
      <c r="K253" s="140">
        <f>$K$7</f>
        <v>2024</v>
      </c>
      <c r="L253" s="139"/>
      <c r="M253" s="140">
        <f>$M$7</f>
        <v>2025</v>
      </c>
      <c r="N253" s="141"/>
    </row>
    <row r="254" spans="2:15" ht="16.5" thickTop="1" thickBot="1" x14ac:dyDescent="0.3">
      <c r="B254" s="109"/>
      <c r="C254" s="142" t="s">
        <v>71</v>
      </c>
      <c r="D254" s="143" t="str">
        <f>CONCATENATE("var. ",RIGHT(C253,2),"/",RIGHT(C253-1,2))</f>
        <v>var. 20/19</v>
      </c>
      <c r="E254" s="144" t="s">
        <v>71</v>
      </c>
      <c r="F254" s="143" t="s">
        <v>252</v>
      </c>
      <c r="G254" s="144" t="s">
        <v>71</v>
      </c>
      <c r="H254" s="143" t="s">
        <v>252</v>
      </c>
      <c r="I254" s="144" t="s">
        <v>71</v>
      </c>
      <c r="J254" s="143" t="s">
        <v>252</v>
      </c>
      <c r="K254" s="144" t="s">
        <v>71</v>
      </c>
      <c r="L254" s="143" t="s">
        <v>252</v>
      </c>
      <c r="M254" s="144" t="s">
        <v>71</v>
      </c>
      <c r="N254" s="143" t="s">
        <v>277</v>
      </c>
    </row>
    <row r="255" spans="2:15" x14ac:dyDescent="0.25">
      <c r="B255" s="145" t="s">
        <v>73</v>
      </c>
      <c r="C255" s="146">
        <v>93</v>
      </c>
      <c r="D255" s="147">
        <v>0.66071428571428581</v>
      </c>
      <c r="E255" s="146">
        <v>23</v>
      </c>
      <c r="F255" s="147">
        <f t="shared" ref="F255:L267" si="26">IFERROR(E255/C255-1,"-")</f>
        <v>-0.75268817204301075</v>
      </c>
      <c r="G255" s="146">
        <v>107</v>
      </c>
      <c r="H255" s="147">
        <f t="shared" si="26"/>
        <v>3.6521739130434785</v>
      </c>
      <c r="I255" s="146">
        <v>236</v>
      </c>
      <c r="J255" s="147">
        <f t="shared" si="26"/>
        <v>1.2056074766355138</v>
      </c>
      <c r="K255" s="146">
        <v>448</v>
      </c>
      <c r="L255" s="147">
        <f t="shared" si="26"/>
        <v>0.89830508474576276</v>
      </c>
      <c r="M255" s="146">
        <v>203</v>
      </c>
      <c r="N255" s="147">
        <f t="shared" ref="N255:N264" si="27">IFERROR(M255/K255-1,"-")</f>
        <v>-0.546875</v>
      </c>
    </row>
    <row r="256" spans="2:15" x14ac:dyDescent="0.25">
      <c r="B256" s="145" t="s">
        <v>75</v>
      </c>
      <c r="C256" s="146">
        <v>98</v>
      </c>
      <c r="D256" s="147">
        <v>-0.24615384615384617</v>
      </c>
      <c r="E256" s="146">
        <v>14</v>
      </c>
      <c r="F256" s="147">
        <f t="shared" si="26"/>
        <v>-0.85714285714285721</v>
      </c>
      <c r="G256" s="146">
        <v>44</v>
      </c>
      <c r="H256" s="147">
        <f t="shared" si="26"/>
        <v>2.1428571428571428</v>
      </c>
      <c r="I256" s="146">
        <v>59</v>
      </c>
      <c r="J256" s="147">
        <f t="shared" si="26"/>
        <v>0.34090909090909083</v>
      </c>
      <c r="K256" s="146">
        <v>189</v>
      </c>
      <c r="L256" s="147">
        <f t="shared" si="26"/>
        <v>2.2033898305084745</v>
      </c>
      <c r="M256" s="146">
        <v>21</v>
      </c>
      <c r="N256" s="147">
        <f t="shared" si="27"/>
        <v>-0.88888888888888884</v>
      </c>
    </row>
    <row r="257" spans="2:14" x14ac:dyDescent="0.25">
      <c r="B257" s="145" t="s">
        <v>77</v>
      </c>
      <c r="C257" s="146">
        <v>19</v>
      </c>
      <c r="D257" s="147">
        <v>-0.80808080808080807</v>
      </c>
      <c r="E257" s="146">
        <v>33</v>
      </c>
      <c r="F257" s="147">
        <f t="shared" si="26"/>
        <v>0.73684210526315796</v>
      </c>
      <c r="G257" s="146">
        <v>23</v>
      </c>
      <c r="H257" s="147">
        <f t="shared" si="26"/>
        <v>-0.30303030303030298</v>
      </c>
      <c r="I257" s="146">
        <v>105</v>
      </c>
      <c r="J257" s="147">
        <f t="shared" si="26"/>
        <v>3.5652173913043477</v>
      </c>
      <c r="K257" s="146">
        <v>115</v>
      </c>
      <c r="L257" s="147">
        <f t="shared" si="26"/>
        <v>9.5238095238095344E-2</v>
      </c>
      <c r="M257" s="146">
        <v>104</v>
      </c>
      <c r="N257" s="147">
        <f t="shared" si="27"/>
        <v>-9.5652173913043481E-2</v>
      </c>
    </row>
    <row r="258" spans="2:14" x14ac:dyDescent="0.25">
      <c r="B258" s="145" t="s">
        <v>79</v>
      </c>
      <c r="C258" s="146">
        <v>0</v>
      </c>
      <c r="D258" s="147">
        <v>-1</v>
      </c>
      <c r="E258" s="146">
        <v>16</v>
      </c>
      <c r="F258" s="147" t="str">
        <f t="shared" si="26"/>
        <v>-</v>
      </c>
      <c r="G258" s="146">
        <v>4</v>
      </c>
      <c r="H258" s="147">
        <f t="shared" si="26"/>
        <v>-0.75</v>
      </c>
      <c r="I258" s="146">
        <v>66</v>
      </c>
      <c r="J258" s="147">
        <f t="shared" si="26"/>
        <v>15.5</v>
      </c>
      <c r="K258" s="146">
        <v>64</v>
      </c>
      <c r="L258" s="147">
        <f t="shared" si="26"/>
        <v>-3.0303030303030276E-2</v>
      </c>
      <c r="M258" s="146">
        <v>23</v>
      </c>
      <c r="N258" s="147">
        <f t="shared" si="27"/>
        <v>-0.640625</v>
      </c>
    </row>
    <row r="259" spans="2:14" x14ac:dyDescent="0.25">
      <c r="B259" s="145" t="s">
        <v>81</v>
      </c>
      <c r="C259" s="146">
        <v>0</v>
      </c>
      <c r="D259" s="147">
        <v>-1</v>
      </c>
      <c r="E259" s="146">
        <v>15</v>
      </c>
      <c r="F259" s="147" t="str">
        <f t="shared" si="26"/>
        <v>-</v>
      </c>
      <c r="G259" s="146">
        <v>10</v>
      </c>
      <c r="H259" s="147">
        <f t="shared" si="26"/>
        <v>-0.33333333333333337</v>
      </c>
      <c r="I259" s="146">
        <v>63</v>
      </c>
      <c r="J259" s="147">
        <f t="shared" si="26"/>
        <v>5.3</v>
      </c>
      <c r="K259" s="146">
        <v>6</v>
      </c>
      <c r="L259" s="147">
        <f t="shared" si="26"/>
        <v>-0.90476190476190477</v>
      </c>
      <c r="M259" s="146">
        <v>52</v>
      </c>
      <c r="N259" s="147">
        <f t="shared" si="27"/>
        <v>7.6666666666666661</v>
      </c>
    </row>
    <row r="260" spans="2:14" x14ac:dyDescent="0.25">
      <c r="B260" s="145" t="s">
        <v>83</v>
      </c>
      <c r="C260" s="146">
        <v>0</v>
      </c>
      <c r="D260" s="147">
        <v>-1</v>
      </c>
      <c r="E260" s="146">
        <v>10</v>
      </c>
      <c r="F260" s="147" t="str">
        <f t="shared" si="26"/>
        <v>-</v>
      </c>
      <c r="G260" s="146">
        <v>29</v>
      </c>
      <c r="H260" s="147">
        <f t="shared" si="26"/>
        <v>1.9</v>
      </c>
      <c r="I260" s="146">
        <v>48</v>
      </c>
      <c r="J260" s="147">
        <f t="shared" si="26"/>
        <v>0.65517241379310343</v>
      </c>
      <c r="K260" s="146">
        <v>0</v>
      </c>
      <c r="L260" s="147">
        <f t="shared" si="26"/>
        <v>-1</v>
      </c>
      <c r="M260" s="146">
        <v>30</v>
      </c>
      <c r="N260" s="147" t="str">
        <f t="shared" si="27"/>
        <v>-</v>
      </c>
    </row>
    <row r="261" spans="2:14" x14ac:dyDescent="0.25">
      <c r="B261" s="145" t="s">
        <v>85</v>
      </c>
      <c r="C261" s="146">
        <v>0</v>
      </c>
      <c r="D261" s="147">
        <v>-1</v>
      </c>
      <c r="E261" s="146">
        <v>7</v>
      </c>
      <c r="F261" s="147" t="str">
        <f t="shared" si="26"/>
        <v>-</v>
      </c>
      <c r="G261" s="146">
        <v>10</v>
      </c>
      <c r="H261" s="147">
        <f t="shared" si="26"/>
        <v>0.4285714285714286</v>
      </c>
      <c r="I261" s="146">
        <v>29</v>
      </c>
      <c r="J261" s="147">
        <f t="shared" si="26"/>
        <v>1.9</v>
      </c>
      <c r="K261" s="146">
        <v>2</v>
      </c>
      <c r="L261" s="147">
        <f t="shared" si="26"/>
        <v>-0.93103448275862066</v>
      </c>
      <c r="M261" s="146">
        <v>20</v>
      </c>
      <c r="N261" s="147">
        <f t="shared" si="27"/>
        <v>9</v>
      </c>
    </row>
    <row r="262" spans="2:14" x14ac:dyDescent="0.25">
      <c r="B262" s="145" t="s">
        <v>87</v>
      </c>
      <c r="C262" s="146">
        <v>3</v>
      </c>
      <c r="D262" s="147">
        <v>-0.88888888888888884</v>
      </c>
      <c r="E262" s="146">
        <v>30</v>
      </c>
      <c r="F262" s="147">
        <f t="shared" si="26"/>
        <v>9</v>
      </c>
      <c r="G262" s="146">
        <v>12</v>
      </c>
      <c r="H262" s="147">
        <f t="shared" si="26"/>
        <v>-0.6</v>
      </c>
      <c r="I262" s="146">
        <v>34</v>
      </c>
      <c r="J262" s="147">
        <f t="shared" si="26"/>
        <v>1.8333333333333335</v>
      </c>
      <c r="K262" s="146">
        <v>23</v>
      </c>
      <c r="L262" s="147">
        <f t="shared" si="26"/>
        <v>-0.32352941176470584</v>
      </c>
      <c r="M262" s="146">
        <v>6</v>
      </c>
      <c r="N262" s="147">
        <f t="shared" si="27"/>
        <v>-0.73913043478260865</v>
      </c>
    </row>
    <row r="263" spans="2:14" x14ac:dyDescent="0.25">
      <c r="B263" s="145" t="s">
        <v>89</v>
      </c>
      <c r="C263" s="146">
        <v>6</v>
      </c>
      <c r="D263" s="147" t="s">
        <v>233</v>
      </c>
      <c r="E263" s="146">
        <v>17</v>
      </c>
      <c r="F263" s="147">
        <f t="shared" si="26"/>
        <v>1.8333333333333335</v>
      </c>
      <c r="G263" s="146">
        <v>8</v>
      </c>
      <c r="H263" s="147">
        <f t="shared" si="26"/>
        <v>-0.52941176470588236</v>
      </c>
      <c r="I263" s="146">
        <v>40</v>
      </c>
      <c r="J263" s="147">
        <f t="shared" si="26"/>
        <v>4</v>
      </c>
      <c r="K263" s="146">
        <v>24</v>
      </c>
      <c r="L263" s="147">
        <f t="shared" si="26"/>
        <v>-0.4</v>
      </c>
      <c r="M263" s="146">
        <v>22</v>
      </c>
      <c r="N263" s="147">
        <f t="shared" si="27"/>
        <v>-8.333333333333337E-2</v>
      </c>
    </row>
    <row r="264" spans="2:14" x14ac:dyDescent="0.25">
      <c r="B264" s="145" t="s">
        <v>91</v>
      </c>
      <c r="C264" s="146">
        <v>6</v>
      </c>
      <c r="D264" s="147">
        <v>-0.875</v>
      </c>
      <c r="E264" s="146">
        <v>7</v>
      </c>
      <c r="F264" s="147">
        <f t="shared" si="26"/>
        <v>0.16666666666666674</v>
      </c>
      <c r="G264" s="146">
        <v>20</v>
      </c>
      <c r="H264" s="147">
        <f t="shared" si="26"/>
        <v>1.8571428571428572</v>
      </c>
      <c r="I264" s="146">
        <v>26</v>
      </c>
      <c r="J264" s="147">
        <f t="shared" si="26"/>
        <v>0.30000000000000004</v>
      </c>
      <c r="K264" s="146">
        <v>122</v>
      </c>
      <c r="L264" s="147">
        <f t="shared" si="26"/>
        <v>3.6923076923076925</v>
      </c>
      <c r="M264" s="146">
        <v>69</v>
      </c>
      <c r="N264" s="147">
        <f t="shared" si="27"/>
        <v>-0.43442622950819676</v>
      </c>
    </row>
    <row r="265" spans="2:14" x14ac:dyDescent="0.25">
      <c r="B265" s="145" t="s">
        <v>93</v>
      </c>
      <c r="C265" s="146">
        <v>20</v>
      </c>
      <c r="D265" s="147">
        <v>-0.87341772151898733</v>
      </c>
      <c r="E265" s="146">
        <v>45</v>
      </c>
      <c r="F265" s="147">
        <f t="shared" si="26"/>
        <v>1.25</v>
      </c>
      <c r="G265" s="146">
        <v>24</v>
      </c>
      <c r="H265" s="147">
        <f t="shared" si="26"/>
        <v>-0.46666666666666667</v>
      </c>
      <c r="I265" s="146">
        <v>97</v>
      </c>
      <c r="J265" s="147">
        <f t="shared" si="26"/>
        <v>3.041666666666667</v>
      </c>
      <c r="K265" s="146">
        <v>91</v>
      </c>
      <c r="L265" s="147">
        <f t="shared" si="26"/>
        <v>-6.1855670103092786E-2</v>
      </c>
      <c r="M265" s="146"/>
      <c r="N265" s="147"/>
    </row>
    <row r="266" spans="2:14" x14ac:dyDescent="0.25">
      <c r="B266" s="145" t="s">
        <v>95</v>
      </c>
      <c r="C266" s="146">
        <v>10</v>
      </c>
      <c r="D266" s="147">
        <v>-0.90909090909090906</v>
      </c>
      <c r="E266" s="146">
        <v>42</v>
      </c>
      <c r="F266" s="147">
        <f t="shared" si="26"/>
        <v>3.2</v>
      </c>
      <c r="G266" s="146">
        <v>94</v>
      </c>
      <c r="H266" s="147">
        <f t="shared" si="26"/>
        <v>1.2380952380952381</v>
      </c>
      <c r="I266" s="146">
        <v>147</v>
      </c>
      <c r="J266" s="147">
        <f t="shared" si="26"/>
        <v>0.56382978723404253</v>
      </c>
      <c r="K266" s="146">
        <v>160</v>
      </c>
      <c r="L266" s="147">
        <f t="shared" si="26"/>
        <v>8.8435374149659962E-2</v>
      </c>
      <c r="M266" s="146"/>
      <c r="N266" s="147"/>
    </row>
    <row r="267" spans="2:14" ht="15.75" x14ac:dyDescent="0.25">
      <c r="B267" s="148" t="s">
        <v>32</v>
      </c>
      <c r="C267" s="149">
        <v>259</v>
      </c>
      <c r="D267" s="150">
        <v>-0.62947067238912735</v>
      </c>
      <c r="E267" s="149">
        <v>259</v>
      </c>
      <c r="F267" s="150">
        <f t="shared" si="26"/>
        <v>0</v>
      </c>
      <c r="G267" s="149">
        <v>385</v>
      </c>
      <c r="H267" s="150">
        <f t="shared" si="26"/>
        <v>0.4864864864864864</v>
      </c>
      <c r="I267" s="149">
        <v>950</v>
      </c>
      <c r="J267" s="150">
        <f t="shared" si="26"/>
        <v>1.4675324675324677</v>
      </c>
      <c r="K267" s="149">
        <v>1244</v>
      </c>
      <c r="L267" s="150">
        <f t="shared" si="26"/>
        <v>0.30947368421052635</v>
      </c>
      <c r="M267" s="149">
        <v>550</v>
      </c>
      <c r="N267" s="150">
        <v>-0.44612286002014101</v>
      </c>
    </row>
    <row r="268" spans="2:14" ht="6" customHeight="1" x14ac:dyDescent="0.25"/>
    <row r="269" spans="2:14" x14ac:dyDescent="0.25">
      <c r="B269" s="131" t="s">
        <v>57</v>
      </c>
      <c r="C269" s="131"/>
      <c r="D269" s="131"/>
      <c r="E269" s="131"/>
      <c r="F269" s="131"/>
      <c r="G269" s="131"/>
      <c r="H269" s="131"/>
      <c r="I269" s="131"/>
      <c r="J269" s="131"/>
      <c r="K269" s="131"/>
      <c r="L269" s="131"/>
      <c r="M269" s="131"/>
      <c r="N269" s="131"/>
    </row>
    <row r="270" spans="2:14" x14ac:dyDescent="0.25">
      <c r="C270" s="151"/>
      <c r="K270" s="151"/>
      <c r="N270" s="103"/>
    </row>
  </sheetData>
  <mergeCells count="96">
    <mergeCell ref="B250:N250"/>
    <mergeCell ref="C252:N252"/>
    <mergeCell ref="C253:D253"/>
    <mergeCell ref="E253:F253"/>
    <mergeCell ref="G253:H253"/>
    <mergeCell ref="I253:J253"/>
    <mergeCell ref="K253:L253"/>
    <mergeCell ref="M253:N253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34BB5-E186-4373-B1CC-4E09202B150D}">
  <sheetPr>
    <tabColor rgb="FFF29140"/>
  </sheetPr>
  <dimension ref="A4:O113"/>
  <sheetViews>
    <sheetView showGridLines="0" topLeftCell="E1" zoomScaleNormal="100" workbookViewId="0">
      <selection activeCell="D5" sqref="D5"/>
    </sheetView>
  </sheetViews>
  <sheetFormatPr baseColWidth="10" defaultColWidth="11.42578125" defaultRowHeight="15" x14ac:dyDescent="0.25"/>
  <cols>
    <col min="1" max="1" width="15.28515625" customWidth="1"/>
    <col min="4" max="4" width="12.140625" bestFit="1" customWidth="1"/>
    <col min="14" max="14" width="13.5703125" bestFit="1" customWidth="1"/>
  </cols>
  <sheetData>
    <row r="4" spans="1:15" ht="48.75" customHeight="1" thickBot="1" x14ac:dyDescent="0.3">
      <c r="B4" s="12" t="s">
        <v>275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134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40">
        <f>E7-1</f>
        <v>2020</v>
      </c>
      <c r="D7" s="139"/>
      <c r="E7" s="140">
        <f>G7-1</f>
        <v>2021</v>
      </c>
      <c r="F7" s="139"/>
      <c r="G7" s="140">
        <f>I7-1</f>
        <v>2022</v>
      </c>
      <c r="H7" s="139"/>
      <c r="I7" s="140">
        <f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",RIGHT(E7,2),"/",RIGHT(C7,2))</f>
        <v>var 21/20</v>
      </c>
      <c r="G8" s="144" t="s">
        <v>71</v>
      </c>
      <c r="H8" s="143" t="str">
        <f>CONCATENATE("var ",RIGHT(G7,2),"/",RIGHT(E7,2))</f>
        <v>var 22/21</v>
      </c>
      <c r="I8" s="144" t="s">
        <v>71</v>
      </c>
      <c r="J8" s="143" t="str">
        <f>CONCATENATE("var ",RIGHT(I7,2),"/",RIGHT(G7,2))</f>
        <v>var 23/22</v>
      </c>
      <c r="K8" s="144" t="s">
        <v>71</v>
      </c>
      <c r="L8" s="143" t="str">
        <f>CONCATENATE("var ",RIGHT(K7,2),"/",RIGHT(I7,2))</f>
        <v>var 24/23</v>
      </c>
      <c r="M8" s="144" t="s">
        <v>71</v>
      </c>
      <c r="N8" s="143" t="str">
        <f>CONCATENATE("var ",RIGHT(M7,2),"/",RIGHT(K7,2))</f>
        <v>var 25/24</v>
      </c>
    </row>
    <row r="9" spans="1:15" x14ac:dyDescent="0.25">
      <c r="A9" s="1" t="s">
        <v>72</v>
      </c>
      <c r="B9" s="145" t="s">
        <v>73</v>
      </c>
      <c r="C9" s="146">
        <v>13603</v>
      </c>
      <c r="D9" s="147">
        <v>9.4456512993804864E-2</v>
      </c>
      <c r="E9" s="146">
        <v>2763</v>
      </c>
      <c r="F9" s="147">
        <f t="shared" ref="F9:L21" si="0">IFERROR(E9/C9-1,"-")</f>
        <v>-0.79688304050577075</v>
      </c>
      <c r="G9" s="146">
        <v>11400</v>
      </c>
      <c r="H9" s="147">
        <f t="shared" si="0"/>
        <v>3.1259500542888166</v>
      </c>
      <c r="I9" s="146">
        <v>14353</v>
      </c>
      <c r="J9" s="147">
        <f t="shared" si="0"/>
        <v>0.25903508771929817</v>
      </c>
      <c r="K9" s="146">
        <v>14581</v>
      </c>
      <c r="L9" s="147">
        <f t="shared" si="0"/>
        <v>1.5885180798439258E-2</v>
      </c>
      <c r="M9" s="146">
        <v>14255</v>
      </c>
      <c r="N9" s="147">
        <f t="shared" ref="N9:N18" si="1">IFERROR(M9/K9-1,"-")</f>
        <v>-2.2357862972361309E-2</v>
      </c>
    </row>
    <row r="10" spans="1:15" x14ac:dyDescent="0.25">
      <c r="A10" s="1" t="s">
        <v>74</v>
      </c>
      <c r="B10" s="145" t="s">
        <v>75</v>
      </c>
      <c r="C10" s="146">
        <v>14342</v>
      </c>
      <c r="D10" s="147">
        <v>6.6081914814539511E-2</v>
      </c>
      <c r="E10" s="146">
        <v>3097</v>
      </c>
      <c r="F10" s="147">
        <f t="shared" si="0"/>
        <v>-0.78406080044624182</v>
      </c>
      <c r="G10" s="146">
        <v>11383</v>
      </c>
      <c r="H10" s="147">
        <f t="shared" si="0"/>
        <v>2.6754924120116241</v>
      </c>
      <c r="I10" s="146">
        <v>14251</v>
      </c>
      <c r="J10" s="147">
        <f t="shared" si="0"/>
        <v>0.25195466924360899</v>
      </c>
      <c r="K10" s="146">
        <v>15138</v>
      </c>
      <c r="L10" s="147">
        <f t="shared" si="0"/>
        <v>6.2241246228334823E-2</v>
      </c>
      <c r="M10" s="146">
        <v>13111</v>
      </c>
      <c r="N10" s="147">
        <f t="shared" si="1"/>
        <v>-0.1339014400845554</v>
      </c>
    </row>
    <row r="11" spans="1:15" x14ac:dyDescent="0.25">
      <c r="A11" s="1" t="s">
        <v>76</v>
      </c>
      <c r="B11" s="145" t="s">
        <v>77</v>
      </c>
      <c r="C11" s="146">
        <v>5714</v>
      </c>
      <c r="D11" s="147">
        <v>-0.58980617372577171</v>
      </c>
      <c r="E11" s="146">
        <v>4959</v>
      </c>
      <c r="F11" s="147">
        <f t="shared" si="0"/>
        <v>-0.13213160658032896</v>
      </c>
      <c r="G11" s="146">
        <v>12710</v>
      </c>
      <c r="H11" s="147">
        <f t="shared" si="0"/>
        <v>1.5630167372454125</v>
      </c>
      <c r="I11" s="146">
        <v>15603</v>
      </c>
      <c r="J11" s="147">
        <f t="shared" si="0"/>
        <v>0.22761605035405186</v>
      </c>
      <c r="K11" s="146">
        <v>15292</v>
      </c>
      <c r="L11" s="147">
        <f t="shared" si="0"/>
        <v>-1.9932064346599998E-2</v>
      </c>
      <c r="M11" s="146">
        <v>14094</v>
      </c>
      <c r="N11" s="147">
        <f t="shared" si="1"/>
        <v>-7.834161653151972E-2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4088</v>
      </c>
      <c r="F12" s="147" t="str">
        <f t="shared" si="0"/>
        <v>-</v>
      </c>
      <c r="G12" s="146">
        <v>12193</v>
      </c>
      <c r="H12" s="147">
        <f t="shared" si="0"/>
        <v>1.9826320939334638</v>
      </c>
      <c r="I12" s="146">
        <v>12703</v>
      </c>
      <c r="J12" s="147">
        <f t="shared" si="0"/>
        <v>4.1827277946362651E-2</v>
      </c>
      <c r="K12" s="146">
        <v>13439</v>
      </c>
      <c r="L12" s="147">
        <f t="shared" si="0"/>
        <v>5.793906951113903E-2</v>
      </c>
      <c r="M12" s="146">
        <v>11979</v>
      </c>
      <c r="N12" s="147">
        <f t="shared" si="1"/>
        <v>-0.10863903564253297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5644</v>
      </c>
      <c r="F13" s="147" t="str">
        <f t="shared" si="0"/>
        <v>-</v>
      </c>
      <c r="G13" s="146">
        <v>10085</v>
      </c>
      <c r="H13" s="147">
        <f t="shared" si="0"/>
        <v>0.78685329553508154</v>
      </c>
      <c r="I13" s="146">
        <v>12793</v>
      </c>
      <c r="J13" s="147">
        <f t="shared" si="0"/>
        <v>0.26851760039662875</v>
      </c>
      <c r="K13" s="146">
        <v>12513</v>
      </c>
      <c r="L13" s="147">
        <f t="shared" si="0"/>
        <v>-2.1886969436410553E-2</v>
      </c>
      <c r="M13" s="146">
        <v>13411</v>
      </c>
      <c r="N13" s="147">
        <f t="shared" si="1"/>
        <v>7.1765364021417755E-2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5487</v>
      </c>
      <c r="F14" s="147" t="str">
        <f t="shared" si="0"/>
        <v>-</v>
      </c>
      <c r="G14" s="146">
        <v>11277</v>
      </c>
      <c r="H14" s="147">
        <f t="shared" si="0"/>
        <v>1.0552214324767633</v>
      </c>
      <c r="I14" s="146">
        <v>10373</v>
      </c>
      <c r="J14" s="147">
        <f t="shared" si="0"/>
        <v>-8.0163163962046591E-2</v>
      </c>
      <c r="K14" s="146">
        <v>10115</v>
      </c>
      <c r="L14" s="147">
        <f t="shared" si="0"/>
        <v>-2.4872264532922017E-2</v>
      </c>
      <c r="M14" s="146">
        <v>11658</v>
      </c>
      <c r="N14" s="147">
        <f t="shared" si="1"/>
        <v>0.15254572417202183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5672</v>
      </c>
      <c r="F15" s="147" t="str">
        <f t="shared" si="0"/>
        <v>-</v>
      </c>
      <c r="G15" s="146">
        <v>10710</v>
      </c>
      <c r="H15" s="147">
        <f t="shared" si="0"/>
        <v>0.8882228490832158</v>
      </c>
      <c r="I15" s="146">
        <v>9594</v>
      </c>
      <c r="J15" s="147">
        <f t="shared" si="0"/>
        <v>-0.10420168067226887</v>
      </c>
      <c r="K15" s="146">
        <v>10140</v>
      </c>
      <c r="L15" s="147">
        <f t="shared" si="0"/>
        <v>5.6910569105691033E-2</v>
      </c>
      <c r="M15" s="146">
        <v>9995</v>
      </c>
      <c r="N15" s="147">
        <f t="shared" si="1"/>
        <v>-1.429980276134124E-2</v>
      </c>
    </row>
    <row r="16" spans="1:15" x14ac:dyDescent="0.25">
      <c r="A16" s="1" t="s">
        <v>86</v>
      </c>
      <c r="B16" s="145" t="s">
        <v>87</v>
      </c>
      <c r="C16" s="146">
        <v>6941</v>
      </c>
      <c r="D16" s="147">
        <v>-0.24357018308631206</v>
      </c>
      <c r="E16" s="146">
        <v>8587</v>
      </c>
      <c r="F16" s="147">
        <f t="shared" si="0"/>
        <v>0.23714162224463342</v>
      </c>
      <c r="G16" s="146">
        <v>10270</v>
      </c>
      <c r="H16" s="147">
        <f t="shared" si="0"/>
        <v>0.19599394433445916</v>
      </c>
      <c r="I16" s="146">
        <v>11871</v>
      </c>
      <c r="J16" s="147">
        <f t="shared" si="0"/>
        <v>0.15589094449853946</v>
      </c>
      <c r="K16" s="146">
        <v>9259</v>
      </c>
      <c r="L16" s="147">
        <f t="shared" si="0"/>
        <v>-0.22003201078257939</v>
      </c>
      <c r="M16" s="146">
        <v>11761</v>
      </c>
      <c r="N16" s="147">
        <f t="shared" si="1"/>
        <v>0.27022356625985533</v>
      </c>
    </row>
    <row r="17" spans="1:15" x14ac:dyDescent="0.25">
      <c r="A17" s="1" t="s">
        <v>88</v>
      </c>
      <c r="B17" s="145" t="s">
        <v>89</v>
      </c>
      <c r="C17" s="146">
        <v>3767</v>
      </c>
      <c r="D17" s="147">
        <v>-0.5293015119330251</v>
      </c>
      <c r="E17" s="146">
        <v>9600</v>
      </c>
      <c r="F17" s="147">
        <f t="shared" si="0"/>
        <v>1.5484470400849482</v>
      </c>
      <c r="G17" s="146">
        <v>10967</v>
      </c>
      <c r="H17" s="147">
        <f t="shared" si="0"/>
        <v>0.14239583333333328</v>
      </c>
      <c r="I17" s="146">
        <v>10606</v>
      </c>
      <c r="J17" s="147">
        <f t="shared" si="0"/>
        <v>-3.2916932616029904E-2</v>
      </c>
      <c r="K17" s="146">
        <v>11345</v>
      </c>
      <c r="L17" s="147">
        <f t="shared" si="0"/>
        <v>6.9677541014520061E-2</v>
      </c>
      <c r="M17" s="146">
        <v>10902</v>
      </c>
      <c r="N17" s="147">
        <f t="shared" si="1"/>
        <v>-3.9048038783605077E-2</v>
      </c>
    </row>
    <row r="18" spans="1:15" x14ac:dyDescent="0.25">
      <c r="A18" s="1" t="s">
        <v>90</v>
      </c>
      <c r="B18" s="145" t="s">
        <v>91</v>
      </c>
      <c r="C18" s="146">
        <v>3603</v>
      </c>
      <c r="D18" s="147">
        <v>-0.66124482888303882</v>
      </c>
      <c r="E18" s="146">
        <v>10119</v>
      </c>
      <c r="F18" s="147">
        <f t="shared" si="0"/>
        <v>1.8084929225645294</v>
      </c>
      <c r="G18" s="146">
        <v>11595</v>
      </c>
      <c r="H18" s="147">
        <f t="shared" si="0"/>
        <v>0.14586421583160392</v>
      </c>
      <c r="I18" s="146">
        <v>11107</v>
      </c>
      <c r="J18" s="147">
        <f t="shared" si="0"/>
        <v>-4.208710651142733E-2</v>
      </c>
      <c r="K18" s="146">
        <v>12187</v>
      </c>
      <c r="L18" s="147">
        <f t="shared" si="0"/>
        <v>9.7235977311605382E-2</v>
      </c>
      <c r="M18" s="146">
        <v>14433</v>
      </c>
      <c r="N18" s="147">
        <f t="shared" si="1"/>
        <v>0.18429474029703785</v>
      </c>
    </row>
    <row r="19" spans="1:15" x14ac:dyDescent="0.25">
      <c r="A19" s="1" t="s">
        <v>92</v>
      </c>
      <c r="B19" s="145" t="s">
        <v>93</v>
      </c>
      <c r="C19" s="146">
        <v>3555</v>
      </c>
      <c r="D19" s="147">
        <v>-0.74897613331450352</v>
      </c>
      <c r="E19" s="146">
        <v>12186</v>
      </c>
      <c r="F19" s="147">
        <f t="shared" si="0"/>
        <v>2.4278481012658228</v>
      </c>
      <c r="G19" s="146">
        <v>13053</v>
      </c>
      <c r="H19" s="147">
        <f t="shared" si="0"/>
        <v>7.1147218119153033E-2</v>
      </c>
      <c r="I19" s="146">
        <v>13216</v>
      </c>
      <c r="J19" s="147">
        <f t="shared" si="0"/>
        <v>1.2487550754615828E-2</v>
      </c>
      <c r="K19" s="146">
        <v>14972</v>
      </c>
      <c r="L19" s="147">
        <f t="shared" si="0"/>
        <v>0.13286924939467304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4049</v>
      </c>
      <c r="D20" s="147">
        <v>-0.68901689708141323</v>
      </c>
      <c r="E20" s="146">
        <v>11200</v>
      </c>
      <c r="F20" s="147">
        <f t="shared" si="0"/>
        <v>1.766115090145715</v>
      </c>
      <c r="G20" s="146">
        <v>12114</v>
      </c>
      <c r="H20" s="147">
        <f t="shared" si="0"/>
        <v>8.1607142857142767E-2</v>
      </c>
      <c r="I20" s="146">
        <v>11864</v>
      </c>
      <c r="J20" s="147">
        <f t="shared" si="0"/>
        <v>-2.06372791811128E-2</v>
      </c>
      <c r="K20" s="146">
        <v>13319</v>
      </c>
      <c r="L20" s="147">
        <f t="shared" si="0"/>
        <v>0.12263991908293992</v>
      </c>
      <c r="M20" s="146"/>
      <c r="N20" s="147"/>
    </row>
    <row r="21" spans="1:15" ht="15.75" x14ac:dyDescent="0.25">
      <c r="A21" s="1"/>
      <c r="B21" s="148" t="s">
        <v>32</v>
      </c>
      <c r="C21" s="149">
        <v>59047</v>
      </c>
      <c r="D21" s="150">
        <v>-0.56623275494762204</v>
      </c>
      <c r="E21" s="149">
        <v>83402</v>
      </c>
      <c r="F21" s="150">
        <f t="shared" si="0"/>
        <v>0.41246803393906539</v>
      </c>
      <c r="G21" s="149">
        <v>137757</v>
      </c>
      <c r="H21" s="150">
        <f t="shared" si="0"/>
        <v>0.65172298026426234</v>
      </c>
      <c r="I21" s="149">
        <v>148334</v>
      </c>
      <c r="J21" s="150">
        <f t="shared" si="0"/>
        <v>7.6780127325653202E-2</v>
      </c>
      <c r="K21" s="149">
        <v>152300</v>
      </c>
      <c r="L21" s="150">
        <f t="shared" si="0"/>
        <v>2.6736958485579887E-2</v>
      </c>
      <c r="M21" s="149">
        <v>125599</v>
      </c>
      <c r="N21" s="150">
        <v>1.2821650041529242E-2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K24" s="151"/>
      <c r="N24" s="103"/>
    </row>
    <row r="26" spans="1:15" ht="48.75" customHeight="1" thickBot="1" x14ac:dyDescent="0.3">
      <c r="B26" s="12" t="s">
        <v>288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139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C$7</f>
        <v>2020</v>
      </c>
      <c r="D29" s="139"/>
      <c r="E29" s="138">
        <f>E$7</f>
        <v>2021</v>
      </c>
      <c r="F29" s="139"/>
      <c r="G29" s="138">
        <f>G$7</f>
        <v>2022</v>
      </c>
      <c r="H29" s="139"/>
      <c r="I29" s="138">
        <f>I$7</f>
        <v>2023</v>
      </c>
      <c r="J29" s="139"/>
      <c r="K29" s="138">
        <f>K$7</f>
        <v>2024</v>
      </c>
      <c r="L29" s="139"/>
      <c r="M29" s="140">
        <f>M$7</f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",RIGHT(E29,2),"/",RIGHT(C29,2))</f>
        <v>var 21/20</v>
      </c>
      <c r="G30" s="144" t="s">
        <v>71</v>
      </c>
      <c r="H30" s="143" t="str">
        <f>CONCATENATE("var ",RIGHT(G29,2),"/",RIGHT(E29,2))</f>
        <v>var 22/21</v>
      </c>
      <c r="I30" s="144" t="s">
        <v>71</v>
      </c>
      <c r="J30" s="143" t="str">
        <f>CONCATENATE("var ",RIGHT(I29,2),"/",RIGHT(G29,2))</f>
        <v>var 23/22</v>
      </c>
      <c r="K30" s="144" t="s">
        <v>71</v>
      </c>
      <c r="L30" s="143" t="str">
        <f>CONCATENATE("var ",RIGHT(K29,2),"/",RIGHT(I29,2))</f>
        <v>var 24/23</v>
      </c>
      <c r="M30" s="144" t="s">
        <v>71</v>
      </c>
      <c r="N30" s="143" t="str">
        <f>CONCATENATE("var ",RIGHT(M29,2),"/",RIGHT(K29,2))</f>
        <v>var 25/24</v>
      </c>
    </row>
    <row r="31" spans="1:15" x14ac:dyDescent="0.25">
      <c r="B31" s="145" t="s">
        <v>73</v>
      </c>
      <c r="C31" s="146">
        <v>13603</v>
      </c>
      <c r="D31" s="147">
        <v>9.4456512993804864E-2</v>
      </c>
      <c r="E31" s="146">
        <v>2763</v>
      </c>
      <c r="F31" s="147">
        <f t="shared" ref="F31:J43" si="2">IFERROR(E31/C31-1,"-")</f>
        <v>-0.79688304050577075</v>
      </c>
      <c r="G31" s="146">
        <v>11400</v>
      </c>
      <c r="H31" s="147">
        <f t="shared" si="2"/>
        <v>3.1259500542888166</v>
      </c>
      <c r="I31" s="146">
        <v>14353</v>
      </c>
      <c r="J31" s="147">
        <f t="shared" si="2"/>
        <v>0.25903508771929817</v>
      </c>
      <c r="K31" s="146">
        <v>14581</v>
      </c>
      <c r="L31" s="147">
        <f t="shared" ref="L31:L43" si="3">IFERROR(K31/I31-1,"-")</f>
        <v>1.5885180798439258E-2</v>
      </c>
      <c r="M31" s="146">
        <v>14255</v>
      </c>
      <c r="N31" s="147">
        <f t="shared" ref="N31:N40" si="4">IFERROR(M31/K31-1,"-")</f>
        <v>-2.2357862972361309E-2</v>
      </c>
    </row>
    <row r="32" spans="1:15" x14ac:dyDescent="0.25">
      <c r="B32" s="145" t="s">
        <v>75</v>
      </c>
      <c r="C32" s="146">
        <v>14342</v>
      </c>
      <c r="D32" s="147">
        <v>6.6081914814539511E-2</v>
      </c>
      <c r="E32" s="146">
        <v>3097</v>
      </c>
      <c r="F32" s="147">
        <f t="shared" si="2"/>
        <v>-0.78406080044624182</v>
      </c>
      <c r="G32" s="146">
        <v>11383</v>
      </c>
      <c r="H32" s="147">
        <f t="shared" si="2"/>
        <v>2.6754924120116241</v>
      </c>
      <c r="I32" s="146">
        <v>14251</v>
      </c>
      <c r="J32" s="147">
        <f t="shared" si="2"/>
        <v>0.25195466924360899</v>
      </c>
      <c r="K32" s="146">
        <v>15138</v>
      </c>
      <c r="L32" s="147">
        <f t="shared" si="3"/>
        <v>6.2241246228334823E-2</v>
      </c>
      <c r="M32" s="146">
        <v>13111</v>
      </c>
      <c r="N32" s="147">
        <f t="shared" si="4"/>
        <v>-0.1339014400845554</v>
      </c>
    </row>
    <row r="33" spans="2:15" x14ac:dyDescent="0.25">
      <c r="B33" s="145" t="s">
        <v>77</v>
      </c>
      <c r="C33" s="146">
        <v>5714</v>
      </c>
      <c r="D33" s="147">
        <v>-0.58980617372577171</v>
      </c>
      <c r="E33" s="146">
        <v>4959</v>
      </c>
      <c r="F33" s="147">
        <f t="shared" si="2"/>
        <v>-0.13213160658032896</v>
      </c>
      <c r="G33" s="146">
        <v>12710</v>
      </c>
      <c r="H33" s="147">
        <f t="shared" si="2"/>
        <v>1.5630167372454125</v>
      </c>
      <c r="I33" s="146">
        <v>15603</v>
      </c>
      <c r="J33" s="147">
        <f t="shared" si="2"/>
        <v>0.22761605035405186</v>
      </c>
      <c r="K33" s="146">
        <v>15292</v>
      </c>
      <c r="L33" s="147">
        <f t="shared" si="3"/>
        <v>-1.9932064346599998E-2</v>
      </c>
      <c r="M33" s="146">
        <v>14094</v>
      </c>
      <c r="N33" s="147">
        <f t="shared" si="4"/>
        <v>-7.834161653151972E-2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4088</v>
      </c>
      <c r="F34" s="147" t="str">
        <f t="shared" si="2"/>
        <v>-</v>
      </c>
      <c r="G34" s="146">
        <v>12193</v>
      </c>
      <c r="H34" s="147">
        <f t="shared" si="2"/>
        <v>1.9826320939334638</v>
      </c>
      <c r="I34" s="146">
        <v>12703</v>
      </c>
      <c r="J34" s="147">
        <f t="shared" si="2"/>
        <v>4.1827277946362651E-2</v>
      </c>
      <c r="K34" s="146">
        <v>13439</v>
      </c>
      <c r="L34" s="147">
        <f t="shared" si="3"/>
        <v>5.793906951113903E-2</v>
      </c>
      <c r="M34" s="146">
        <v>11979</v>
      </c>
      <c r="N34" s="147">
        <f t="shared" si="4"/>
        <v>-0.10863903564253297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5644</v>
      </c>
      <c r="F35" s="147" t="str">
        <f t="shared" si="2"/>
        <v>-</v>
      </c>
      <c r="G35" s="146">
        <v>10085</v>
      </c>
      <c r="H35" s="147">
        <f t="shared" si="2"/>
        <v>0.78685329553508154</v>
      </c>
      <c r="I35" s="146">
        <v>12793</v>
      </c>
      <c r="J35" s="147">
        <f t="shared" si="2"/>
        <v>0.26851760039662875</v>
      </c>
      <c r="K35" s="146">
        <v>12513</v>
      </c>
      <c r="L35" s="147">
        <f t="shared" si="3"/>
        <v>-2.1886969436410553E-2</v>
      </c>
      <c r="M35" s="146">
        <v>13411</v>
      </c>
      <c r="N35" s="147">
        <f t="shared" si="4"/>
        <v>7.1765364021417755E-2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5487</v>
      </c>
      <c r="F36" s="147" t="str">
        <f t="shared" si="2"/>
        <v>-</v>
      </c>
      <c r="G36" s="146">
        <v>11277</v>
      </c>
      <c r="H36" s="147">
        <f t="shared" si="2"/>
        <v>1.0552214324767633</v>
      </c>
      <c r="I36" s="146">
        <v>10373</v>
      </c>
      <c r="J36" s="147">
        <f t="shared" si="2"/>
        <v>-8.0163163962046591E-2</v>
      </c>
      <c r="K36" s="146">
        <v>10115</v>
      </c>
      <c r="L36" s="147">
        <f t="shared" si="3"/>
        <v>-2.4872264532922017E-2</v>
      </c>
      <c r="M36" s="146">
        <v>11658</v>
      </c>
      <c r="N36" s="147">
        <f t="shared" si="4"/>
        <v>0.15254572417202183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5672</v>
      </c>
      <c r="F37" s="147" t="str">
        <f t="shared" si="2"/>
        <v>-</v>
      </c>
      <c r="G37" s="146">
        <v>10710</v>
      </c>
      <c r="H37" s="147">
        <f t="shared" si="2"/>
        <v>0.8882228490832158</v>
      </c>
      <c r="I37" s="146">
        <v>9594</v>
      </c>
      <c r="J37" s="147">
        <f t="shared" si="2"/>
        <v>-0.10420168067226887</v>
      </c>
      <c r="K37" s="146">
        <v>10140</v>
      </c>
      <c r="L37" s="147">
        <f t="shared" si="3"/>
        <v>5.6910569105691033E-2</v>
      </c>
      <c r="M37" s="146">
        <v>9995</v>
      </c>
      <c r="N37" s="147">
        <f t="shared" si="4"/>
        <v>-1.429980276134124E-2</v>
      </c>
    </row>
    <row r="38" spans="2:15" x14ac:dyDescent="0.25">
      <c r="B38" s="145" t="s">
        <v>87</v>
      </c>
      <c r="C38" s="146">
        <v>6941</v>
      </c>
      <c r="D38" s="147">
        <v>-0.24357018308631206</v>
      </c>
      <c r="E38" s="146">
        <v>8587</v>
      </c>
      <c r="F38" s="147">
        <f t="shared" si="2"/>
        <v>0.23714162224463342</v>
      </c>
      <c r="G38" s="146">
        <v>10270</v>
      </c>
      <c r="H38" s="147">
        <f t="shared" si="2"/>
        <v>0.19599394433445916</v>
      </c>
      <c r="I38" s="146">
        <v>11871</v>
      </c>
      <c r="J38" s="147">
        <f t="shared" si="2"/>
        <v>0.15589094449853946</v>
      </c>
      <c r="K38" s="146">
        <v>9259</v>
      </c>
      <c r="L38" s="147">
        <f t="shared" si="3"/>
        <v>-0.22003201078257939</v>
      </c>
      <c r="M38" s="146">
        <v>11761</v>
      </c>
      <c r="N38" s="147">
        <f t="shared" si="4"/>
        <v>0.27022356625985533</v>
      </c>
    </row>
    <row r="39" spans="2:15" x14ac:dyDescent="0.25">
      <c r="B39" s="145" t="s">
        <v>89</v>
      </c>
      <c r="C39" s="146">
        <v>3767</v>
      </c>
      <c r="D39" s="147">
        <v>-0.5293015119330251</v>
      </c>
      <c r="E39" s="146">
        <v>9600</v>
      </c>
      <c r="F39" s="147">
        <f t="shared" si="2"/>
        <v>1.5484470400849482</v>
      </c>
      <c r="G39" s="146">
        <v>10967</v>
      </c>
      <c r="H39" s="147">
        <f t="shared" si="2"/>
        <v>0.14239583333333328</v>
      </c>
      <c r="I39" s="146">
        <v>10606</v>
      </c>
      <c r="J39" s="147">
        <f t="shared" si="2"/>
        <v>-3.2916932616029904E-2</v>
      </c>
      <c r="K39" s="146">
        <v>11345</v>
      </c>
      <c r="L39" s="147">
        <f t="shared" si="3"/>
        <v>6.9677541014520061E-2</v>
      </c>
      <c r="M39" s="146">
        <v>10902</v>
      </c>
      <c r="N39" s="147">
        <f t="shared" si="4"/>
        <v>-3.9048038783605077E-2</v>
      </c>
    </row>
    <row r="40" spans="2:15" x14ac:dyDescent="0.25">
      <c r="B40" s="145" t="s">
        <v>91</v>
      </c>
      <c r="C40" s="146">
        <v>3603</v>
      </c>
      <c r="D40" s="147">
        <v>-0.66124482888303882</v>
      </c>
      <c r="E40" s="146">
        <v>10119</v>
      </c>
      <c r="F40" s="147">
        <f t="shared" si="2"/>
        <v>1.8084929225645294</v>
      </c>
      <c r="G40" s="146">
        <v>11595</v>
      </c>
      <c r="H40" s="147">
        <f t="shared" si="2"/>
        <v>0.14586421583160392</v>
      </c>
      <c r="I40" s="146">
        <v>11107</v>
      </c>
      <c r="J40" s="147">
        <f t="shared" si="2"/>
        <v>-4.208710651142733E-2</v>
      </c>
      <c r="K40" s="146">
        <v>12187</v>
      </c>
      <c r="L40" s="147">
        <f t="shared" si="3"/>
        <v>9.7235977311605382E-2</v>
      </c>
      <c r="M40" s="146">
        <v>14433</v>
      </c>
      <c r="N40" s="147">
        <f t="shared" si="4"/>
        <v>0.18429474029703785</v>
      </c>
    </row>
    <row r="41" spans="2:15" x14ac:dyDescent="0.25">
      <c r="B41" s="145" t="s">
        <v>93</v>
      </c>
      <c r="C41" s="146">
        <v>3555</v>
      </c>
      <c r="D41" s="147">
        <v>-0.74897613331450352</v>
      </c>
      <c r="E41" s="146">
        <v>12186</v>
      </c>
      <c r="F41" s="147">
        <f t="shared" si="2"/>
        <v>2.4278481012658228</v>
      </c>
      <c r="G41" s="146">
        <v>13053</v>
      </c>
      <c r="H41" s="147">
        <f t="shared" si="2"/>
        <v>7.1147218119153033E-2</v>
      </c>
      <c r="I41" s="146">
        <v>13216</v>
      </c>
      <c r="J41" s="147">
        <f t="shared" si="2"/>
        <v>1.2487550754615828E-2</v>
      </c>
      <c r="K41" s="146">
        <v>14972</v>
      </c>
      <c r="L41" s="147">
        <f t="shared" si="3"/>
        <v>0.13286924939467304</v>
      </c>
      <c r="M41" s="146"/>
      <c r="N41" s="147"/>
    </row>
    <row r="42" spans="2:15" x14ac:dyDescent="0.25">
      <c r="B42" s="145" t="s">
        <v>95</v>
      </c>
      <c r="C42" s="146">
        <v>4049</v>
      </c>
      <c r="D42" s="147">
        <v>-0.68901689708141323</v>
      </c>
      <c r="E42" s="146">
        <v>11200</v>
      </c>
      <c r="F42" s="147">
        <f t="shared" si="2"/>
        <v>1.766115090145715</v>
      </c>
      <c r="G42" s="146">
        <v>12114</v>
      </c>
      <c r="H42" s="147">
        <f t="shared" si="2"/>
        <v>8.1607142857142767E-2</v>
      </c>
      <c r="I42" s="146">
        <v>11864</v>
      </c>
      <c r="J42" s="147">
        <f t="shared" si="2"/>
        <v>-2.06372791811128E-2</v>
      </c>
      <c r="K42" s="146">
        <v>13319</v>
      </c>
      <c r="L42" s="147">
        <f t="shared" si="3"/>
        <v>0.12263991908293992</v>
      </c>
      <c r="M42" s="146"/>
      <c r="N42" s="147"/>
    </row>
    <row r="43" spans="2:15" ht="15.75" x14ac:dyDescent="0.25">
      <c r="B43" s="148" t="s">
        <v>32</v>
      </c>
      <c r="C43" s="149">
        <v>59047</v>
      </c>
      <c r="D43" s="150">
        <v>-0.56623275494762204</v>
      </c>
      <c r="E43" s="149">
        <v>83402</v>
      </c>
      <c r="F43" s="150">
        <f t="shared" si="2"/>
        <v>0.41246803393906539</v>
      </c>
      <c r="G43" s="149">
        <v>137757</v>
      </c>
      <c r="H43" s="150">
        <f t="shared" si="2"/>
        <v>0.65172298026426234</v>
      </c>
      <c r="I43" s="149">
        <v>148334</v>
      </c>
      <c r="J43" s="150">
        <f t="shared" si="2"/>
        <v>7.6780127325653202E-2</v>
      </c>
      <c r="K43" s="149">
        <v>152300</v>
      </c>
      <c r="L43" s="150">
        <f t="shared" si="3"/>
        <v>2.6736958485579887E-2</v>
      </c>
      <c r="M43" s="149">
        <v>125599</v>
      </c>
      <c r="N43" s="150">
        <v>1.2821650041529242E-2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8" spans="2:15" ht="48.75" customHeight="1" thickBot="1" x14ac:dyDescent="0.3">
      <c r="B48" s="12" t="s">
        <v>289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151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C$7</f>
        <v>2020</v>
      </c>
      <c r="D51" s="139"/>
      <c r="E51" s="138">
        <f>E$7</f>
        <v>2021</v>
      </c>
      <c r="F51" s="139"/>
      <c r="G51" s="138">
        <f>G$7</f>
        <v>2022</v>
      </c>
      <c r="H51" s="139"/>
      <c r="I51" s="138">
        <f>I$7</f>
        <v>2023</v>
      </c>
      <c r="J51" s="139"/>
      <c r="K51" s="138">
        <f>K$7</f>
        <v>2024</v>
      </c>
      <c r="L51" s="139"/>
      <c r="M51" s="140">
        <f>M$7</f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",RIGHT(E51,2),"/",RIGHT(C51,2))</f>
        <v>var 21/20</v>
      </c>
      <c r="G52" s="144" t="s">
        <v>71</v>
      </c>
      <c r="H52" s="143" t="str">
        <f>CONCATENATE("var ",RIGHT(G51,2),"/",RIGHT(E51,2))</f>
        <v>var 22/21</v>
      </c>
      <c r="I52" s="144" t="s">
        <v>71</v>
      </c>
      <c r="J52" s="143" t="str">
        <f>CONCATENATE("var ",RIGHT(I51,2),"/",RIGHT(G51,2))</f>
        <v>var 23/22</v>
      </c>
      <c r="K52" s="144" t="s">
        <v>71</v>
      </c>
      <c r="L52" s="143" t="str">
        <f>CONCATENATE("var ",RIGHT(K51,2),"/",RIGHT(I51,2))</f>
        <v>var 24/23</v>
      </c>
      <c r="M52" s="144" t="s">
        <v>71</v>
      </c>
      <c r="N52" s="143" t="str">
        <f>CONCATENATE("var ",RIGHT(M51,2),"/",RIGHT(K51,2))</f>
        <v>var 25/24</v>
      </c>
    </row>
    <row r="53" spans="1:15" x14ac:dyDescent="0.25">
      <c r="A53" s="1"/>
      <c r="B53" s="145" t="s">
        <v>73</v>
      </c>
      <c r="C53" s="146">
        <v>11286</v>
      </c>
      <c r="D53" s="147">
        <v>8.581874158168179E-2</v>
      </c>
      <c r="E53" s="146">
        <v>0</v>
      </c>
      <c r="F53" s="147">
        <f t="shared" ref="F53:J65" si="5">IFERROR(E53/C53-1,"-")</f>
        <v>-1</v>
      </c>
      <c r="G53" s="146">
        <v>0</v>
      </c>
      <c r="H53" s="147" t="str">
        <f t="shared" si="5"/>
        <v>-</v>
      </c>
      <c r="I53" s="146">
        <v>12972</v>
      </c>
      <c r="J53" s="147" t="str">
        <f t="shared" si="5"/>
        <v>-</v>
      </c>
      <c r="K53" s="146">
        <v>13093</v>
      </c>
      <c r="L53" s="147">
        <f t="shared" ref="L53:L65" si="6">IFERROR(K53/I53-1,"-")</f>
        <v>9.3277829170521631E-3</v>
      </c>
      <c r="M53" s="146">
        <v>12738</v>
      </c>
      <c r="N53" s="147">
        <f t="shared" ref="N53:N62" si="7">IFERROR(M53/K53-1,"-")</f>
        <v>-2.711372489116326E-2</v>
      </c>
    </row>
    <row r="54" spans="1:15" x14ac:dyDescent="0.25">
      <c r="A54" s="1">
        <v>2</v>
      </c>
      <c r="B54" s="145" t="s">
        <v>75</v>
      </c>
      <c r="C54" s="146">
        <v>11308</v>
      </c>
      <c r="D54" s="147">
        <v>-1.2365306482953198E-3</v>
      </c>
      <c r="E54" s="146">
        <v>0</v>
      </c>
      <c r="F54" s="147">
        <f t="shared" si="5"/>
        <v>-1</v>
      </c>
      <c r="G54" s="146">
        <v>0</v>
      </c>
      <c r="H54" s="147" t="str">
        <f t="shared" si="5"/>
        <v>-</v>
      </c>
      <c r="I54" s="146">
        <v>12909</v>
      </c>
      <c r="J54" s="147" t="str">
        <f t="shared" si="5"/>
        <v>-</v>
      </c>
      <c r="K54" s="146">
        <v>13468</v>
      </c>
      <c r="L54" s="147">
        <f t="shared" si="6"/>
        <v>4.3303121852970694E-2</v>
      </c>
      <c r="M54" s="146">
        <v>11624</v>
      </c>
      <c r="N54" s="147">
        <f t="shared" si="7"/>
        <v>-0.13691713691713692</v>
      </c>
    </row>
    <row r="55" spans="1:15" x14ac:dyDescent="0.25">
      <c r="A55" s="1">
        <v>3</v>
      </c>
      <c r="B55" s="145" t="s">
        <v>77</v>
      </c>
      <c r="C55" s="146">
        <v>4549</v>
      </c>
      <c r="D55" s="147">
        <v>-0.58521017598249292</v>
      </c>
      <c r="E55" s="146">
        <v>0</v>
      </c>
      <c r="F55" s="147">
        <f t="shared" si="5"/>
        <v>-1</v>
      </c>
      <c r="G55" s="146">
        <v>0</v>
      </c>
      <c r="H55" s="147" t="str">
        <f t="shared" si="5"/>
        <v>-</v>
      </c>
      <c r="I55" s="146">
        <v>14183</v>
      </c>
      <c r="J55" s="147" t="str">
        <f t="shared" si="5"/>
        <v>-</v>
      </c>
      <c r="K55" s="146">
        <v>13753</v>
      </c>
      <c r="L55" s="147">
        <f t="shared" si="6"/>
        <v>-3.0317986321652723E-2</v>
      </c>
      <c r="M55" s="146">
        <v>12541</v>
      </c>
      <c r="N55" s="147">
        <f t="shared" si="7"/>
        <v>-8.8126227005017044E-2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0</v>
      </c>
      <c r="F56" s="147" t="str">
        <f t="shared" si="5"/>
        <v>-</v>
      </c>
      <c r="G56" s="146">
        <v>11421</v>
      </c>
      <c r="H56" s="147" t="str">
        <f t="shared" si="5"/>
        <v>-</v>
      </c>
      <c r="I56" s="146">
        <v>11501</v>
      </c>
      <c r="J56" s="147">
        <f t="shared" si="5"/>
        <v>7.0046405743804385E-3</v>
      </c>
      <c r="K56" s="146">
        <v>12269</v>
      </c>
      <c r="L56" s="147">
        <f t="shared" si="6"/>
        <v>6.6776802017215919E-2</v>
      </c>
      <c r="M56" s="146">
        <v>10741</v>
      </c>
      <c r="N56" s="147">
        <f t="shared" si="7"/>
        <v>-0.12454152742684821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0</v>
      </c>
      <c r="F57" s="147" t="str">
        <f t="shared" si="5"/>
        <v>-</v>
      </c>
      <c r="G57" s="146">
        <v>9235</v>
      </c>
      <c r="H57" s="147" t="str">
        <f t="shared" si="5"/>
        <v>-</v>
      </c>
      <c r="I57" s="146">
        <v>11901</v>
      </c>
      <c r="J57" s="147">
        <f t="shared" si="5"/>
        <v>0.28868435300487283</v>
      </c>
      <c r="K57" s="146">
        <v>11514</v>
      </c>
      <c r="L57" s="147">
        <f t="shared" si="6"/>
        <v>-3.2518275775144989E-2</v>
      </c>
      <c r="M57" s="146">
        <v>11973</v>
      </c>
      <c r="N57" s="147">
        <f t="shared" si="7"/>
        <v>3.9864512767066262E-2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0</v>
      </c>
      <c r="F58" s="147" t="str">
        <f t="shared" si="5"/>
        <v>-</v>
      </c>
      <c r="G58" s="146">
        <v>10531</v>
      </c>
      <c r="H58" s="147" t="str">
        <f t="shared" si="5"/>
        <v>-</v>
      </c>
      <c r="I58" s="146">
        <v>9518</v>
      </c>
      <c r="J58" s="147">
        <f t="shared" si="5"/>
        <v>-9.619219447345928E-2</v>
      </c>
      <c r="K58" s="146">
        <v>9062</v>
      </c>
      <c r="L58" s="147">
        <f t="shared" si="6"/>
        <v>-4.7909224627022517E-2</v>
      </c>
      <c r="M58" s="146">
        <v>10628</v>
      </c>
      <c r="N58" s="147">
        <f t="shared" si="7"/>
        <v>0.17280953431913493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0</v>
      </c>
      <c r="F59" s="147" t="str">
        <f t="shared" si="5"/>
        <v>-</v>
      </c>
      <c r="G59" s="146">
        <v>9731</v>
      </c>
      <c r="H59" s="147" t="str">
        <f t="shared" si="5"/>
        <v>-</v>
      </c>
      <c r="I59" s="146">
        <v>0</v>
      </c>
      <c r="J59" s="147">
        <f t="shared" si="5"/>
        <v>-1</v>
      </c>
      <c r="K59" s="146">
        <v>8860</v>
      </c>
      <c r="L59" s="147" t="str">
        <f t="shared" si="6"/>
        <v>-</v>
      </c>
      <c r="M59" s="146">
        <v>8921</v>
      </c>
      <c r="N59" s="147">
        <f t="shared" si="7"/>
        <v>6.884875846501215E-3</v>
      </c>
    </row>
    <row r="60" spans="1:15" x14ac:dyDescent="0.25">
      <c r="A60" s="1">
        <v>8</v>
      </c>
      <c r="B60" s="145" t="s">
        <v>87</v>
      </c>
      <c r="C60" s="146">
        <v>0</v>
      </c>
      <c r="D60" s="147">
        <v>-1</v>
      </c>
      <c r="E60" s="146">
        <v>0</v>
      </c>
      <c r="F60" s="147" t="str">
        <f t="shared" si="5"/>
        <v>-</v>
      </c>
      <c r="G60" s="146">
        <v>9417</v>
      </c>
      <c r="H60" s="147" t="str">
        <f t="shared" si="5"/>
        <v>-</v>
      </c>
      <c r="I60" s="146">
        <v>0</v>
      </c>
      <c r="J60" s="147">
        <f t="shared" si="5"/>
        <v>-1</v>
      </c>
      <c r="K60" s="146">
        <v>8826</v>
      </c>
      <c r="L60" s="147" t="str">
        <f t="shared" si="6"/>
        <v>-</v>
      </c>
      <c r="M60" s="146">
        <v>11198</v>
      </c>
      <c r="N60" s="147">
        <f t="shared" si="7"/>
        <v>0.26875141627011101</v>
      </c>
    </row>
    <row r="61" spans="1:15" x14ac:dyDescent="0.25">
      <c r="A61" s="1">
        <v>9</v>
      </c>
      <c r="B61" s="145" t="s">
        <v>89</v>
      </c>
      <c r="C61" s="146">
        <v>0</v>
      </c>
      <c r="D61" s="147">
        <v>-1</v>
      </c>
      <c r="E61" s="146">
        <v>0</v>
      </c>
      <c r="F61" s="147" t="str">
        <f t="shared" si="5"/>
        <v>-</v>
      </c>
      <c r="G61" s="146">
        <v>10046</v>
      </c>
      <c r="H61" s="147" t="str">
        <f t="shared" si="5"/>
        <v>-</v>
      </c>
      <c r="I61" s="146">
        <v>9670</v>
      </c>
      <c r="J61" s="147">
        <f t="shared" si="5"/>
        <v>-3.7427831972924541E-2</v>
      </c>
      <c r="K61" s="146">
        <v>10217</v>
      </c>
      <c r="L61" s="147">
        <f t="shared" si="6"/>
        <v>5.6566701137538811E-2</v>
      </c>
      <c r="M61" s="146">
        <v>9735</v>
      </c>
      <c r="N61" s="147">
        <f t="shared" si="7"/>
        <v>-4.7176274836057575E-2</v>
      </c>
    </row>
    <row r="62" spans="1:15" x14ac:dyDescent="0.25">
      <c r="A62" s="1">
        <v>10</v>
      </c>
      <c r="B62" s="145" t="s">
        <v>91</v>
      </c>
      <c r="C62" s="146">
        <v>0</v>
      </c>
      <c r="D62" s="147">
        <v>-1</v>
      </c>
      <c r="E62" s="146">
        <v>0</v>
      </c>
      <c r="F62" s="147" t="str">
        <f t="shared" si="5"/>
        <v>-</v>
      </c>
      <c r="G62" s="146">
        <v>10278</v>
      </c>
      <c r="H62" s="147" t="str">
        <f t="shared" si="5"/>
        <v>-</v>
      </c>
      <c r="I62" s="146">
        <v>9853</v>
      </c>
      <c r="J62" s="147">
        <f t="shared" si="5"/>
        <v>-4.1350457287410047E-2</v>
      </c>
      <c r="K62" s="146">
        <v>10893</v>
      </c>
      <c r="L62" s="147">
        <f t="shared" si="6"/>
        <v>0.10555160864711266</v>
      </c>
      <c r="M62" s="146">
        <v>12858</v>
      </c>
      <c r="N62" s="147">
        <f t="shared" si="7"/>
        <v>0.18039107683833655</v>
      </c>
    </row>
    <row r="63" spans="1:15" x14ac:dyDescent="0.25">
      <c r="A63" s="1">
        <v>11</v>
      </c>
      <c r="B63" s="145" t="s">
        <v>93</v>
      </c>
      <c r="C63" s="146">
        <v>0</v>
      </c>
      <c r="D63" s="147">
        <v>-1</v>
      </c>
      <c r="E63" s="146">
        <v>0</v>
      </c>
      <c r="F63" s="147" t="str">
        <f t="shared" si="5"/>
        <v>-</v>
      </c>
      <c r="G63" s="146">
        <v>11865</v>
      </c>
      <c r="H63" s="147" t="str">
        <f t="shared" si="5"/>
        <v>-</v>
      </c>
      <c r="I63" s="146">
        <v>11701</v>
      </c>
      <c r="J63" s="147">
        <f t="shared" si="5"/>
        <v>-1.3822166034555439E-2</v>
      </c>
      <c r="K63" s="146">
        <v>13338</v>
      </c>
      <c r="L63" s="147">
        <f t="shared" si="6"/>
        <v>0.13990257242970694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0</v>
      </c>
      <c r="D64" s="147">
        <v>-1</v>
      </c>
      <c r="E64" s="146">
        <v>0</v>
      </c>
      <c r="F64" s="147" t="str">
        <f t="shared" si="5"/>
        <v>-</v>
      </c>
      <c r="G64" s="146">
        <v>10905</v>
      </c>
      <c r="H64" s="147" t="str">
        <f t="shared" si="5"/>
        <v>-</v>
      </c>
      <c r="I64" s="146">
        <v>10315</v>
      </c>
      <c r="J64" s="147">
        <f t="shared" si="5"/>
        <v>-5.410362219165521E-2</v>
      </c>
      <c r="K64" s="146">
        <v>11641</v>
      </c>
      <c r="L64" s="147">
        <f t="shared" si="6"/>
        <v>0.12855065438681534</v>
      </c>
      <c r="M64" s="146"/>
      <c r="N64" s="147"/>
    </row>
    <row r="65" spans="1:15" ht="15.75" x14ac:dyDescent="0.25">
      <c r="B65" s="148" t="s">
        <v>32</v>
      </c>
      <c r="C65" s="149">
        <v>0</v>
      </c>
      <c r="D65" s="150">
        <v>-1</v>
      </c>
      <c r="E65" s="149">
        <v>0</v>
      </c>
      <c r="F65" s="150" t="str">
        <f t="shared" si="5"/>
        <v>-</v>
      </c>
      <c r="G65" s="149">
        <v>127692</v>
      </c>
      <c r="H65" s="150" t="str">
        <f t="shared" si="5"/>
        <v>-</v>
      </c>
      <c r="I65" s="149">
        <v>134451</v>
      </c>
      <c r="J65" s="150">
        <f t="shared" si="5"/>
        <v>5.2932055257964405E-2</v>
      </c>
      <c r="K65" s="149">
        <v>136934</v>
      </c>
      <c r="L65" s="150">
        <f t="shared" si="6"/>
        <v>1.8467694550430958E-2</v>
      </c>
      <c r="M65" s="149">
        <v>112957</v>
      </c>
      <c r="N65" s="150">
        <v>8.9500245634406284E-3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290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64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C$7</f>
        <v>2020</v>
      </c>
      <c r="D73" s="139"/>
      <c r="E73" s="138">
        <f>E$7</f>
        <v>2021</v>
      </c>
      <c r="F73" s="139"/>
      <c r="G73" s="138">
        <f>G$7</f>
        <v>2022</v>
      </c>
      <c r="H73" s="139"/>
      <c r="I73" s="138">
        <f>I$7</f>
        <v>2023</v>
      </c>
      <c r="J73" s="139"/>
      <c r="K73" s="138">
        <f>K$7</f>
        <v>2024</v>
      </c>
      <c r="L73" s="139"/>
      <c r="M73" s="140">
        <f>M$7</f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",RIGHT(E73,2),"/",RIGHT(C73,2))</f>
        <v>var 21/20</v>
      </c>
      <c r="G74" s="144" t="s">
        <v>71</v>
      </c>
      <c r="H74" s="143" t="str">
        <f>CONCATENATE("var ",RIGHT(G73,2),"/",RIGHT(E73,2))</f>
        <v>var 22/21</v>
      </c>
      <c r="I74" s="144" t="s">
        <v>71</v>
      </c>
      <c r="J74" s="143" t="str">
        <f>CONCATENATE("var ",RIGHT(I73,2),"/",RIGHT(G73,2))</f>
        <v>var 23/22</v>
      </c>
      <c r="K74" s="144" t="s">
        <v>71</v>
      </c>
      <c r="L74" s="143" t="str">
        <f>CONCATENATE("var ",RIGHT(K73,2),"/",RIGHT(I73,2))</f>
        <v>var 24/23</v>
      </c>
      <c r="M74" s="144" t="s">
        <v>71</v>
      </c>
      <c r="N74" s="143" t="str">
        <f>CONCATENATE("var ",RIGHT(M73,2),"/",RIGHT(K73,2))</f>
        <v>var 25/24</v>
      </c>
    </row>
    <row r="75" spans="1:15" x14ac:dyDescent="0.25">
      <c r="A75" s="1">
        <v>1</v>
      </c>
      <c r="B75" s="145" t="s">
        <v>73</v>
      </c>
      <c r="C75" s="146">
        <v>2317</v>
      </c>
      <c r="D75" s="147">
        <v>0.13857493857493863</v>
      </c>
      <c r="E75" s="146">
        <v>0</v>
      </c>
      <c r="F75" s="147">
        <f t="shared" ref="F75:J87" si="8">IFERROR(E75/C75-1,"-")</f>
        <v>-1</v>
      </c>
      <c r="G75" s="146">
        <v>0</v>
      </c>
      <c r="H75" s="147" t="str">
        <f t="shared" si="8"/>
        <v>-</v>
      </c>
      <c r="I75" s="146">
        <v>1381</v>
      </c>
      <c r="J75" s="147" t="str">
        <f t="shared" si="8"/>
        <v>-</v>
      </c>
      <c r="K75" s="146">
        <v>1488</v>
      </c>
      <c r="L75" s="147">
        <f t="shared" ref="L75:L87" si="9">IFERROR(K75/I75-1,"-")</f>
        <v>7.7480086893555455E-2</v>
      </c>
      <c r="M75" s="146">
        <v>1517</v>
      </c>
      <c r="N75" s="147">
        <f t="shared" ref="N75:N84" si="10">IFERROR(M75/K75-1,"-")</f>
        <v>1.9489247311827995E-2</v>
      </c>
    </row>
    <row r="76" spans="1:15" x14ac:dyDescent="0.25">
      <c r="A76" s="1">
        <v>2</v>
      </c>
      <c r="B76" s="145" t="s">
        <v>75</v>
      </c>
      <c r="C76" s="146">
        <v>3034</v>
      </c>
      <c r="D76" s="147">
        <v>0.42374472078836223</v>
      </c>
      <c r="E76" s="146">
        <v>0</v>
      </c>
      <c r="F76" s="147">
        <f t="shared" si="8"/>
        <v>-1</v>
      </c>
      <c r="G76" s="146">
        <v>0</v>
      </c>
      <c r="H76" s="147" t="str">
        <f t="shared" si="8"/>
        <v>-</v>
      </c>
      <c r="I76" s="146">
        <v>1342</v>
      </c>
      <c r="J76" s="147" t="str">
        <f t="shared" si="8"/>
        <v>-</v>
      </c>
      <c r="K76" s="146">
        <v>1670</v>
      </c>
      <c r="L76" s="147">
        <f t="shared" si="9"/>
        <v>0.24441132637853946</v>
      </c>
      <c r="M76" s="146">
        <v>1487</v>
      </c>
      <c r="N76" s="147">
        <f t="shared" si="10"/>
        <v>-0.1095808383233533</v>
      </c>
    </row>
    <row r="77" spans="1:15" x14ac:dyDescent="0.25">
      <c r="A77" s="1">
        <v>3</v>
      </c>
      <c r="B77" s="145" t="s">
        <v>77</v>
      </c>
      <c r="C77" s="146">
        <v>1165</v>
      </c>
      <c r="D77" s="147">
        <v>-0.60681741478231521</v>
      </c>
      <c r="E77" s="146">
        <v>0</v>
      </c>
      <c r="F77" s="147">
        <f t="shared" si="8"/>
        <v>-1</v>
      </c>
      <c r="G77" s="146">
        <v>0</v>
      </c>
      <c r="H77" s="147" t="str">
        <f t="shared" si="8"/>
        <v>-</v>
      </c>
      <c r="I77" s="146">
        <v>1420</v>
      </c>
      <c r="J77" s="147" t="str">
        <f t="shared" si="8"/>
        <v>-</v>
      </c>
      <c r="K77" s="146">
        <v>1539</v>
      </c>
      <c r="L77" s="147">
        <f t="shared" si="9"/>
        <v>8.380281690140845E-2</v>
      </c>
      <c r="M77" s="146">
        <v>1553</v>
      </c>
      <c r="N77" s="147">
        <f t="shared" si="10"/>
        <v>9.0968161143600845E-3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0</v>
      </c>
      <c r="F78" s="147" t="str">
        <f t="shared" si="8"/>
        <v>-</v>
      </c>
      <c r="G78" s="146">
        <v>772</v>
      </c>
      <c r="H78" s="147" t="str">
        <f t="shared" si="8"/>
        <v>-</v>
      </c>
      <c r="I78" s="146">
        <v>1202</v>
      </c>
      <c r="J78" s="147">
        <f t="shared" si="8"/>
        <v>0.55699481865284972</v>
      </c>
      <c r="K78" s="146">
        <v>1170</v>
      </c>
      <c r="L78" s="147">
        <f t="shared" si="9"/>
        <v>-2.6622296173044901E-2</v>
      </c>
      <c r="M78" s="146">
        <v>1238</v>
      </c>
      <c r="N78" s="147">
        <f t="shared" si="10"/>
        <v>5.8119658119658135E-2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0</v>
      </c>
      <c r="F79" s="147" t="str">
        <f t="shared" si="8"/>
        <v>-</v>
      </c>
      <c r="G79" s="146">
        <v>850</v>
      </c>
      <c r="H79" s="147" t="str">
        <f t="shared" si="8"/>
        <v>-</v>
      </c>
      <c r="I79" s="146">
        <v>892</v>
      </c>
      <c r="J79" s="147">
        <f t="shared" si="8"/>
        <v>4.9411764705882266E-2</v>
      </c>
      <c r="K79" s="146">
        <v>999</v>
      </c>
      <c r="L79" s="147">
        <f t="shared" si="9"/>
        <v>0.11995515695067271</v>
      </c>
      <c r="M79" s="146">
        <v>1438</v>
      </c>
      <c r="N79" s="147">
        <f t="shared" si="10"/>
        <v>0.43943943943943942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0</v>
      </c>
      <c r="F80" s="147" t="str">
        <f t="shared" si="8"/>
        <v>-</v>
      </c>
      <c r="G80" s="146">
        <v>746</v>
      </c>
      <c r="H80" s="147" t="str">
        <f t="shared" si="8"/>
        <v>-</v>
      </c>
      <c r="I80" s="146">
        <v>855</v>
      </c>
      <c r="J80" s="147">
        <f t="shared" si="8"/>
        <v>0.14611260053619302</v>
      </c>
      <c r="K80" s="146">
        <v>1053</v>
      </c>
      <c r="L80" s="147">
        <f t="shared" si="9"/>
        <v>0.23157894736842111</v>
      </c>
      <c r="M80" s="146">
        <v>1030</v>
      </c>
      <c r="N80" s="147">
        <f t="shared" si="10"/>
        <v>-2.1842355175688555E-2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0</v>
      </c>
      <c r="F81" s="147" t="str">
        <f t="shared" si="8"/>
        <v>-</v>
      </c>
      <c r="G81" s="146">
        <v>979</v>
      </c>
      <c r="H81" s="147" t="str">
        <f t="shared" si="8"/>
        <v>-</v>
      </c>
      <c r="I81" s="146">
        <v>0</v>
      </c>
      <c r="J81" s="147">
        <f t="shared" si="8"/>
        <v>-1</v>
      </c>
      <c r="K81" s="146">
        <v>1280</v>
      </c>
      <c r="L81" s="147" t="str">
        <f t="shared" si="9"/>
        <v>-</v>
      </c>
      <c r="M81" s="146">
        <v>1074</v>
      </c>
      <c r="N81" s="147">
        <f t="shared" si="10"/>
        <v>-0.16093749999999996</v>
      </c>
    </row>
    <row r="82" spans="1:15" x14ac:dyDescent="0.25">
      <c r="A82" s="1">
        <v>8</v>
      </c>
      <c r="B82" s="145" t="s">
        <v>87</v>
      </c>
      <c r="C82" s="146">
        <v>0</v>
      </c>
      <c r="D82" s="147">
        <v>-1</v>
      </c>
      <c r="E82" s="146">
        <v>0</v>
      </c>
      <c r="F82" s="147" t="str">
        <f t="shared" si="8"/>
        <v>-</v>
      </c>
      <c r="G82" s="146">
        <v>853</v>
      </c>
      <c r="H82" s="147" t="str">
        <f t="shared" si="8"/>
        <v>-</v>
      </c>
      <c r="I82" s="146">
        <v>0</v>
      </c>
      <c r="J82" s="147">
        <f t="shared" si="8"/>
        <v>-1</v>
      </c>
      <c r="K82" s="146">
        <v>433</v>
      </c>
      <c r="L82" s="147" t="str">
        <f t="shared" si="9"/>
        <v>-</v>
      </c>
      <c r="M82" s="146">
        <v>563</v>
      </c>
      <c r="N82" s="147">
        <f t="shared" si="10"/>
        <v>0.30023094688221708</v>
      </c>
    </row>
    <row r="83" spans="1:15" x14ac:dyDescent="0.25">
      <c r="A83" s="1">
        <v>9</v>
      </c>
      <c r="B83" s="145" t="s">
        <v>89</v>
      </c>
      <c r="C83" s="146">
        <v>0</v>
      </c>
      <c r="D83" s="147">
        <v>-1</v>
      </c>
      <c r="E83" s="146">
        <v>0</v>
      </c>
      <c r="F83" s="147" t="str">
        <f t="shared" si="8"/>
        <v>-</v>
      </c>
      <c r="G83" s="146">
        <v>921</v>
      </c>
      <c r="H83" s="147" t="str">
        <f t="shared" si="8"/>
        <v>-</v>
      </c>
      <c r="I83" s="146">
        <v>936</v>
      </c>
      <c r="J83" s="147">
        <f t="shared" si="8"/>
        <v>1.6286644951140072E-2</v>
      </c>
      <c r="K83" s="146">
        <v>1128</v>
      </c>
      <c r="L83" s="147">
        <f t="shared" si="9"/>
        <v>0.20512820512820507</v>
      </c>
      <c r="M83" s="146">
        <v>1167</v>
      </c>
      <c r="N83" s="147">
        <f t="shared" si="10"/>
        <v>3.4574468085106336E-2</v>
      </c>
    </row>
    <row r="84" spans="1:15" x14ac:dyDescent="0.25">
      <c r="A84" s="1">
        <v>10</v>
      </c>
      <c r="B84" s="145" t="s">
        <v>91</v>
      </c>
      <c r="C84" s="146">
        <v>0</v>
      </c>
      <c r="D84" s="147">
        <v>-1</v>
      </c>
      <c r="E84" s="146">
        <v>0</v>
      </c>
      <c r="F84" s="147" t="str">
        <f t="shared" si="8"/>
        <v>-</v>
      </c>
      <c r="G84" s="146">
        <v>1317</v>
      </c>
      <c r="H84" s="147" t="str">
        <f t="shared" si="8"/>
        <v>-</v>
      </c>
      <c r="I84" s="146">
        <v>1254</v>
      </c>
      <c r="J84" s="147">
        <f t="shared" si="8"/>
        <v>-4.783599088838264E-2</v>
      </c>
      <c r="K84" s="146">
        <v>1294</v>
      </c>
      <c r="L84" s="147">
        <f t="shared" si="9"/>
        <v>3.1897926634768758E-2</v>
      </c>
      <c r="M84" s="146">
        <v>1575</v>
      </c>
      <c r="N84" s="147">
        <f t="shared" si="10"/>
        <v>0.21715610510046357</v>
      </c>
    </row>
    <row r="85" spans="1:15" x14ac:dyDescent="0.25">
      <c r="A85" s="1">
        <v>11</v>
      </c>
      <c r="B85" s="145" t="s">
        <v>93</v>
      </c>
      <c r="C85" s="146">
        <v>0</v>
      </c>
      <c r="D85" s="147">
        <v>-1</v>
      </c>
      <c r="E85" s="146">
        <v>0</v>
      </c>
      <c r="F85" s="147" t="str">
        <f t="shared" si="8"/>
        <v>-</v>
      </c>
      <c r="G85" s="146">
        <v>1188</v>
      </c>
      <c r="H85" s="147" t="str">
        <f t="shared" si="8"/>
        <v>-</v>
      </c>
      <c r="I85" s="146">
        <v>1515</v>
      </c>
      <c r="J85" s="147">
        <f t="shared" si="8"/>
        <v>0.2752525252525253</v>
      </c>
      <c r="K85" s="146">
        <v>1634</v>
      </c>
      <c r="L85" s="147">
        <f t="shared" si="9"/>
        <v>7.8547854785478544E-2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0</v>
      </c>
      <c r="D86" s="147">
        <v>-1</v>
      </c>
      <c r="E86" s="146">
        <v>0</v>
      </c>
      <c r="F86" s="147" t="str">
        <f t="shared" si="8"/>
        <v>-</v>
      </c>
      <c r="G86" s="146">
        <v>1209</v>
      </c>
      <c r="H86" s="147" t="str">
        <f t="shared" si="8"/>
        <v>-</v>
      </c>
      <c r="I86" s="146">
        <v>1549</v>
      </c>
      <c r="J86" s="147">
        <f t="shared" si="8"/>
        <v>0.28122415219189412</v>
      </c>
      <c r="K86" s="146">
        <v>1678</v>
      </c>
      <c r="L86" s="147">
        <f t="shared" si="9"/>
        <v>8.3279535183989672E-2</v>
      </c>
      <c r="M86" s="146"/>
      <c r="N86" s="147"/>
    </row>
    <row r="87" spans="1:15" ht="15.75" x14ac:dyDescent="0.25">
      <c r="B87" s="148" t="s">
        <v>32</v>
      </c>
      <c r="C87" s="149">
        <v>0</v>
      </c>
      <c r="D87" s="150">
        <v>-1</v>
      </c>
      <c r="E87" s="149">
        <v>0</v>
      </c>
      <c r="F87" s="150" t="str">
        <f t="shared" si="8"/>
        <v>-</v>
      </c>
      <c r="G87" s="149">
        <v>10065</v>
      </c>
      <c r="H87" s="150" t="str">
        <f t="shared" si="8"/>
        <v>-</v>
      </c>
      <c r="I87" s="149">
        <v>13883</v>
      </c>
      <c r="J87" s="150">
        <f t="shared" si="8"/>
        <v>0.37933432687531043</v>
      </c>
      <c r="K87" s="149">
        <v>15366</v>
      </c>
      <c r="L87" s="150">
        <f t="shared" si="9"/>
        <v>0.1068212922279046</v>
      </c>
      <c r="M87" s="149">
        <v>12642</v>
      </c>
      <c r="N87" s="150">
        <v>4.8780487804878092E-2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291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117</v>
      </c>
    </row>
    <row r="94" spans="1:15" ht="22.5" thickTop="1" thickBot="1" x14ac:dyDescent="0.3">
      <c r="B94" s="152" t="s">
        <v>98</v>
      </c>
      <c r="C94" s="135" t="s">
        <v>34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C$7</f>
        <v>2020</v>
      </c>
      <c r="D95" s="139"/>
      <c r="E95" s="138">
        <f>E$7</f>
        <v>2021</v>
      </c>
      <c r="F95" s="139"/>
      <c r="G95" s="138">
        <f>G$7</f>
        <v>2022</v>
      </c>
      <c r="H95" s="139"/>
      <c r="I95" s="138">
        <f>I$7</f>
        <v>2023</v>
      </c>
      <c r="J95" s="139"/>
      <c r="K95" s="138">
        <f>K$7</f>
        <v>2024</v>
      </c>
      <c r="L95" s="139"/>
      <c r="M95" s="140">
        <f>M$7</f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",RIGHT(E95,2),"/",RIGHT(C95,2))</f>
        <v>var 21/20</v>
      </c>
      <c r="G96" s="144" t="s">
        <v>71</v>
      </c>
      <c r="H96" s="143" t="str">
        <f>CONCATENATE("var ",RIGHT(G95,2),"/",RIGHT(E95,2))</f>
        <v>var 22/21</v>
      </c>
      <c r="I96" s="144" t="s">
        <v>71</v>
      </c>
      <c r="J96" s="143" t="str">
        <f>CONCATENATE("var ",RIGHT(I95,2),"/",RIGHT(G95,2))</f>
        <v>var 23/22</v>
      </c>
      <c r="K96" s="144" t="s">
        <v>71</v>
      </c>
      <c r="L96" s="143" t="str">
        <f>CONCATENATE("var ",RIGHT(K95,2),"/",RIGHT(I95,2))</f>
        <v>var 24/23</v>
      </c>
      <c r="M96" s="144" t="s">
        <v>71</v>
      </c>
      <c r="N96" s="143" t="str">
        <f>CONCATENATE("var ",RIGHT(M95,2),"/",RIGHT(K95,2))</f>
        <v>var 25/24</v>
      </c>
    </row>
    <row r="97" spans="2:14" x14ac:dyDescent="0.25">
      <c r="B97" s="145" t="s">
        <v>73</v>
      </c>
      <c r="C97" s="146" t="s">
        <v>233</v>
      </c>
      <c r="D97" s="147" t="s">
        <v>233</v>
      </c>
      <c r="E97" s="146" t="s">
        <v>233</v>
      </c>
      <c r="F97" s="147" t="str">
        <f t="shared" ref="F97:J109" si="11">IFERROR(E97/C97-1,"-")</f>
        <v>-</v>
      </c>
      <c r="G97" s="146" t="s">
        <v>233</v>
      </c>
      <c r="H97" s="147" t="str">
        <f t="shared" si="11"/>
        <v>-</v>
      </c>
      <c r="I97" s="146" t="s">
        <v>233</v>
      </c>
      <c r="J97" s="147" t="str">
        <f t="shared" si="11"/>
        <v>-</v>
      </c>
      <c r="K97" s="146" t="s">
        <v>233</v>
      </c>
      <c r="L97" s="147" t="str">
        <f t="shared" ref="L97:L109" si="12">IFERROR(K97/I97-1,"-")</f>
        <v>-</v>
      </c>
      <c r="M97" s="146" t="s">
        <v>233</v>
      </c>
      <c r="N97" s="147" t="str">
        <f t="shared" ref="N97:N106" si="13">IFERROR(M97/K97-1,"-")</f>
        <v>-</v>
      </c>
    </row>
    <row r="98" spans="2:14" x14ac:dyDescent="0.25">
      <c r="B98" s="145" t="s">
        <v>75</v>
      </c>
      <c r="C98" s="146" t="s">
        <v>233</v>
      </c>
      <c r="D98" s="147" t="s">
        <v>233</v>
      </c>
      <c r="E98" s="146" t="s">
        <v>233</v>
      </c>
      <c r="F98" s="147" t="str">
        <f t="shared" si="11"/>
        <v>-</v>
      </c>
      <c r="G98" s="146" t="s">
        <v>233</v>
      </c>
      <c r="H98" s="147" t="str">
        <f t="shared" si="11"/>
        <v>-</v>
      </c>
      <c r="I98" s="146" t="s">
        <v>233</v>
      </c>
      <c r="J98" s="147" t="str">
        <f t="shared" si="11"/>
        <v>-</v>
      </c>
      <c r="K98" s="146" t="s">
        <v>233</v>
      </c>
      <c r="L98" s="147" t="str">
        <f t="shared" si="12"/>
        <v>-</v>
      </c>
      <c r="M98" s="146" t="s">
        <v>233</v>
      </c>
      <c r="N98" s="147" t="str">
        <f t="shared" si="13"/>
        <v>-</v>
      </c>
    </row>
    <row r="99" spans="2:14" x14ac:dyDescent="0.25">
      <c r="B99" s="145" t="s">
        <v>77</v>
      </c>
      <c r="C99" s="146" t="s">
        <v>233</v>
      </c>
      <c r="D99" s="147" t="s">
        <v>233</v>
      </c>
      <c r="E99" s="146" t="s">
        <v>233</v>
      </c>
      <c r="F99" s="147" t="str">
        <f t="shared" si="11"/>
        <v>-</v>
      </c>
      <c r="G99" s="146" t="s">
        <v>233</v>
      </c>
      <c r="H99" s="147" t="str">
        <f t="shared" si="11"/>
        <v>-</v>
      </c>
      <c r="I99" s="146" t="s">
        <v>233</v>
      </c>
      <c r="J99" s="147" t="str">
        <f t="shared" si="11"/>
        <v>-</v>
      </c>
      <c r="K99" s="146" t="s">
        <v>233</v>
      </c>
      <c r="L99" s="147" t="str">
        <f t="shared" si="12"/>
        <v>-</v>
      </c>
      <c r="M99" s="146" t="s">
        <v>233</v>
      </c>
      <c r="N99" s="147" t="str">
        <f t="shared" si="13"/>
        <v>-</v>
      </c>
    </row>
    <row r="100" spans="2:14" x14ac:dyDescent="0.25">
      <c r="B100" s="145" t="s">
        <v>79</v>
      </c>
      <c r="C100" s="146" t="s">
        <v>233</v>
      </c>
      <c r="D100" s="147" t="s">
        <v>233</v>
      </c>
      <c r="E100" s="146" t="s">
        <v>233</v>
      </c>
      <c r="F100" s="147" t="str">
        <f t="shared" si="11"/>
        <v>-</v>
      </c>
      <c r="G100" s="146" t="s">
        <v>233</v>
      </c>
      <c r="H100" s="147" t="str">
        <f t="shared" si="11"/>
        <v>-</v>
      </c>
      <c r="I100" s="146" t="s">
        <v>233</v>
      </c>
      <c r="J100" s="147" t="str">
        <f t="shared" si="11"/>
        <v>-</v>
      </c>
      <c r="K100" s="146" t="s">
        <v>233</v>
      </c>
      <c r="L100" s="147" t="str">
        <f t="shared" si="12"/>
        <v>-</v>
      </c>
      <c r="M100" s="146" t="s">
        <v>233</v>
      </c>
      <c r="N100" s="147" t="str">
        <f t="shared" si="13"/>
        <v>-</v>
      </c>
    </row>
    <row r="101" spans="2:14" x14ac:dyDescent="0.25">
      <c r="B101" s="145" t="s">
        <v>81</v>
      </c>
      <c r="C101" s="146" t="s">
        <v>233</v>
      </c>
      <c r="D101" s="147" t="s">
        <v>233</v>
      </c>
      <c r="E101" s="146" t="s">
        <v>233</v>
      </c>
      <c r="F101" s="147" t="str">
        <f t="shared" si="11"/>
        <v>-</v>
      </c>
      <c r="G101" s="146" t="s">
        <v>233</v>
      </c>
      <c r="H101" s="147" t="str">
        <f t="shared" si="11"/>
        <v>-</v>
      </c>
      <c r="I101" s="146" t="s">
        <v>233</v>
      </c>
      <c r="J101" s="147" t="str">
        <f t="shared" si="11"/>
        <v>-</v>
      </c>
      <c r="K101" s="146" t="s">
        <v>233</v>
      </c>
      <c r="L101" s="147" t="str">
        <f t="shared" si="12"/>
        <v>-</v>
      </c>
      <c r="M101" s="146" t="s">
        <v>233</v>
      </c>
      <c r="N101" s="147" t="str">
        <f t="shared" si="13"/>
        <v>-</v>
      </c>
    </row>
    <row r="102" spans="2:14" x14ac:dyDescent="0.25">
      <c r="B102" s="145" t="s">
        <v>83</v>
      </c>
      <c r="C102" s="146" t="s">
        <v>233</v>
      </c>
      <c r="D102" s="147" t="s">
        <v>233</v>
      </c>
      <c r="E102" s="146" t="s">
        <v>233</v>
      </c>
      <c r="F102" s="147" t="str">
        <f t="shared" si="11"/>
        <v>-</v>
      </c>
      <c r="G102" s="146" t="s">
        <v>233</v>
      </c>
      <c r="H102" s="147" t="str">
        <f t="shared" si="11"/>
        <v>-</v>
      </c>
      <c r="I102" s="146" t="s">
        <v>233</v>
      </c>
      <c r="J102" s="147" t="str">
        <f t="shared" si="11"/>
        <v>-</v>
      </c>
      <c r="K102" s="146" t="s">
        <v>233</v>
      </c>
      <c r="L102" s="147" t="str">
        <f t="shared" si="12"/>
        <v>-</v>
      </c>
      <c r="M102" s="146" t="s">
        <v>233</v>
      </c>
      <c r="N102" s="147" t="str">
        <f t="shared" si="13"/>
        <v>-</v>
      </c>
    </row>
    <row r="103" spans="2:14" x14ac:dyDescent="0.25">
      <c r="B103" s="145" t="s">
        <v>85</v>
      </c>
      <c r="C103" s="146" t="s">
        <v>233</v>
      </c>
      <c r="D103" s="147" t="s">
        <v>233</v>
      </c>
      <c r="E103" s="146" t="s">
        <v>233</v>
      </c>
      <c r="F103" s="147" t="str">
        <f t="shared" si="11"/>
        <v>-</v>
      </c>
      <c r="G103" s="146" t="s">
        <v>233</v>
      </c>
      <c r="H103" s="147" t="str">
        <f t="shared" si="11"/>
        <v>-</v>
      </c>
      <c r="I103" s="146" t="s">
        <v>233</v>
      </c>
      <c r="J103" s="147" t="str">
        <f t="shared" si="11"/>
        <v>-</v>
      </c>
      <c r="K103" s="146" t="s">
        <v>233</v>
      </c>
      <c r="L103" s="147" t="str">
        <f t="shared" si="12"/>
        <v>-</v>
      </c>
      <c r="M103" s="146" t="s">
        <v>233</v>
      </c>
      <c r="N103" s="147" t="str">
        <f t="shared" si="13"/>
        <v>-</v>
      </c>
    </row>
    <row r="104" spans="2:14" x14ac:dyDescent="0.25">
      <c r="B104" s="145" t="s">
        <v>87</v>
      </c>
      <c r="C104" s="146" t="s">
        <v>233</v>
      </c>
      <c r="D104" s="147" t="s">
        <v>233</v>
      </c>
      <c r="E104" s="146" t="s">
        <v>233</v>
      </c>
      <c r="F104" s="147" t="str">
        <f t="shared" si="11"/>
        <v>-</v>
      </c>
      <c r="G104" s="146" t="s">
        <v>233</v>
      </c>
      <c r="H104" s="147" t="str">
        <f t="shared" si="11"/>
        <v>-</v>
      </c>
      <c r="I104" s="146" t="s">
        <v>233</v>
      </c>
      <c r="J104" s="147" t="str">
        <f t="shared" si="11"/>
        <v>-</v>
      </c>
      <c r="K104" s="146" t="s">
        <v>233</v>
      </c>
      <c r="L104" s="147" t="str">
        <f t="shared" si="12"/>
        <v>-</v>
      </c>
      <c r="M104" s="146" t="s">
        <v>233</v>
      </c>
      <c r="N104" s="147" t="str">
        <f t="shared" si="13"/>
        <v>-</v>
      </c>
    </row>
    <row r="105" spans="2:14" x14ac:dyDescent="0.25">
      <c r="B105" s="145" t="s">
        <v>89</v>
      </c>
      <c r="C105" s="146" t="s">
        <v>233</v>
      </c>
      <c r="D105" s="147" t="s">
        <v>233</v>
      </c>
      <c r="E105" s="146" t="s">
        <v>233</v>
      </c>
      <c r="F105" s="147" t="str">
        <f t="shared" si="11"/>
        <v>-</v>
      </c>
      <c r="G105" s="146" t="s">
        <v>233</v>
      </c>
      <c r="H105" s="147" t="str">
        <f t="shared" si="11"/>
        <v>-</v>
      </c>
      <c r="I105" s="146" t="s">
        <v>233</v>
      </c>
      <c r="J105" s="147" t="str">
        <f t="shared" si="11"/>
        <v>-</v>
      </c>
      <c r="K105" s="146" t="s">
        <v>233</v>
      </c>
      <c r="L105" s="147" t="str">
        <f t="shared" si="12"/>
        <v>-</v>
      </c>
      <c r="M105" s="146" t="s">
        <v>233</v>
      </c>
      <c r="N105" s="147" t="str">
        <f t="shared" si="13"/>
        <v>-</v>
      </c>
    </row>
    <row r="106" spans="2:14" x14ac:dyDescent="0.25">
      <c r="B106" s="145" t="s">
        <v>91</v>
      </c>
      <c r="C106" s="146" t="s">
        <v>233</v>
      </c>
      <c r="D106" s="147" t="s">
        <v>233</v>
      </c>
      <c r="E106" s="146" t="s">
        <v>233</v>
      </c>
      <c r="F106" s="147" t="str">
        <f t="shared" si="11"/>
        <v>-</v>
      </c>
      <c r="G106" s="146" t="s">
        <v>233</v>
      </c>
      <c r="H106" s="147" t="str">
        <f t="shared" si="11"/>
        <v>-</v>
      </c>
      <c r="I106" s="146" t="s">
        <v>233</v>
      </c>
      <c r="J106" s="147" t="str">
        <f t="shared" si="11"/>
        <v>-</v>
      </c>
      <c r="K106" s="146" t="s">
        <v>233</v>
      </c>
      <c r="L106" s="147" t="str">
        <f t="shared" si="12"/>
        <v>-</v>
      </c>
      <c r="M106" s="146" t="s">
        <v>233</v>
      </c>
      <c r="N106" s="147" t="str">
        <f t="shared" si="13"/>
        <v>-</v>
      </c>
    </row>
    <row r="107" spans="2:14" x14ac:dyDescent="0.25">
      <c r="B107" s="145" t="s">
        <v>93</v>
      </c>
      <c r="C107" s="146" t="s">
        <v>233</v>
      </c>
      <c r="D107" s="147" t="s">
        <v>233</v>
      </c>
      <c r="E107" s="146" t="s">
        <v>233</v>
      </c>
      <c r="F107" s="147" t="str">
        <f t="shared" si="11"/>
        <v>-</v>
      </c>
      <c r="G107" s="146" t="s">
        <v>233</v>
      </c>
      <c r="H107" s="147" t="str">
        <f t="shared" si="11"/>
        <v>-</v>
      </c>
      <c r="I107" s="146" t="s">
        <v>233</v>
      </c>
      <c r="J107" s="147" t="str">
        <f t="shared" si="11"/>
        <v>-</v>
      </c>
      <c r="K107" s="146" t="s">
        <v>233</v>
      </c>
      <c r="L107" s="147" t="str">
        <f t="shared" si="12"/>
        <v>-</v>
      </c>
      <c r="M107" s="146"/>
      <c r="N107" s="147"/>
    </row>
    <row r="108" spans="2:14" x14ac:dyDescent="0.25">
      <c r="B108" s="145" t="s">
        <v>95</v>
      </c>
      <c r="C108" s="146" t="s">
        <v>233</v>
      </c>
      <c r="D108" s="147" t="s">
        <v>233</v>
      </c>
      <c r="E108" s="146" t="s">
        <v>233</v>
      </c>
      <c r="F108" s="147" t="str">
        <f t="shared" si="11"/>
        <v>-</v>
      </c>
      <c r="G108" s="146" t="s">
        <v>233</v>
      </c>
      <c r="H108" s="147" t="str">
        <f t="shared" si="11"/>
        <v>-</v>
      </c>
      <c r="I108" s="146" t="s">
        <v>233</v>
      </c>
      <c r="J108" s="147" t="str">
        <f t="shared" si="11"/>
        <v>-</v>
      </c>
      <c r="K108" s="146" t="s">
        <v>233</v>
      </c>
      <c r="L108" s="147" t="str">
        <f t="shared" si="12"/>
        <v>-</v>
      </c>
      <c r="M108" s="146"/>
      <c r="N108" s="147"/>
    </row>
    <row r="109" spans="2:14" ht="15.75" x14ac:dyDescent="0.25">
      <c r="B109" s="148" t="s">
        <v>32</v>
      </c>
      <c r="C109" s="149" t="s">
        <v>233</v>
      </c>
      <c r="D109" s="150" t="s">
        <v>233</v>
      </c>
      <c r="E109" s="149" t="s">
        <v>233</v>
      </c>
      <c r="F109" s="150" t="str">
        <f t="shared" si="11"/>
        <v>-</v>
      </c>
      <c r="G109" s="149" t="s">
        <v>233</v>
      </c>
      <c r="H109" s="150" t="str">
        <f t="shared" si="11"/>
        <v>-</v>
      </c>
      <c r="I109" s="149" t="s">
        <v>233</v>
      </c>
      <c r="J109" s="150" t="str">
        <f t="shared" si="11"/>
        <v>-</v>
      </c>
      <c r="K109" s="149" t="s">
        <v>233</v>
      </c>
      <c r="L109" s="150" t="str">
        <f t="shared" si="12"/>
        <v>-</v>
      </c>
      <c r="M109" s="149" t="s">
        <v>233</v>
      </c>
      <c r="N109" s="150" t="s">
        <v>233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3" spans="3:3" x14ac:dyDescent="0.25">
      <c r="C113" s="151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4AF6-E7A1-464B-B4AC-432A1AD977A2}">
  <sheetPr>
    <tabColor rgb="FFF29140"/>
    <pageSetUpPr fitToPage="1"/>
  </sheetPr>
  <dimension ref="A1:N162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4" spans="1:12" ht="42" customHeight="1" thickBot="1" x14ac:dyDescent="0.3">
      <c r="B4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</row>
    <row r="5" spans="1:12" ht="6" customHeight="1" x14ac:dyDescent="0.25"/>
    <row r="6" spans="1:12" s="177" customFormat="1" ht="72" customHeight="1" x14ac:dyDescent="0.25">
      <c r="B6" s="178"/>
      <c r="C6" s="205" t="s">
        <v>263</v>
      </c>
      <c r="D6" s="205" t="s">
        <v>228</v>
      </c>
      <c r="E6" s="205" t="s">
        <v>229</v>
      </c>
      <c r="F6" s="205" t="s">
        <v>230</v>
      </c>
      <c r="G6" s="205" t="s">
        <v>231</v>
      </c>
      <c r="H6" s="205" t="s">
        <v>232</v>
      </c>
      <c r="I6" s="206" t="str">
        <f>CONCATENATE("var. ",RIGHT(H6,2),"/",RIGHT(G6,2))</f>
        <v>var. 25/24</v>
      </c>
      <c r="J6" s="205" t="str">
        <f>CONCATENATE("dif. ",RIGHT(H6,2),"/",RIGHT(G6,2))</f>
        <v>dif. 25/24</v>
      </c>
      <c r="K6" s="206" t="str">
        <f>CONCATENATE("Cuota s/ total lugares de residencia ",RIGHT(H6,4))</f>
        <v>Cuota s/ total lugares de residencia 2025</v>
      </c>
    </row>
    <row r="7" spans="1:12" s="177" customFormat="1" x14ac:dyDescent="0.25"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</row>
    <row r="8" spans="1:12" x14ac:dyDescent="0.25">
      <c r="A8" s="1"/>
      <c r="B8" s="187" t="s">
        <v>70</v>
      </c>
      <c r="C8" s="209">
        <v>385368</v>
      </c>
      <c r="D8" s="209">
        <v>2294198</v>
      </c>
      <c r="E8" s="209">
        <v>2809781</v>
      </c>
      <c r="F8" s="209">
        <v>3055908</v>
      </c>
      <c r="G8" s="209">
        <v>3165719</v>
      </c>
      <c r="H8" s="209">
        <v>3096132</v>
      </c>
      <c r="I8" s="210">
        <f>IFERROR(H8/G8-1,"-")</f>
        <v>-2.1981420334527435E-2</v>
      </c>
      <c r="J8" s="209">
        <f>H8-G8</f>
        <v>-69587</v>
      </c>
      <c r="K8" s="210">
        <f>H8/H$8</f>
        <v>1</v>
      </c>
      <c r="L8" s="103"/>
    </row>
    <row r="9" spans="1:12" x14ac:dyDescent="0.25">
      <c r="A9" s="1" t="s">
        <v>98</v>
      </c>
      <c r="B9" s="190" t="s">
        <v>99</v>
      </c>
      <c r="C9" s="191">
        <v>154044</v>
      </c>
      <c r="D9" s="191">
        <v>293268</v>
      </c>
      <c r="E9" s="191">
        <v>329359</v>
      </c>
      <c r="F9" s="191">
        <v>314595</v>
      </c>
      <c r="G9" s="191">
        <v>324649</v>
      </c>
      <c r="H9" s="191">
        <v>325625</v>
      </c>
      <c r="I9" s="192">
        <f>IFERROR(H9/G9-1,"-")</f>
        <v>3.0063237527298003E-3</v>
      </c>
      <c r="J9" s="191">
        <f t="shared" ref="J9:J19" si="0">H9-G9</f>
        <v>976</v>
      </c>
      <c r="K9" s="192">
        <f>H9/H$8</f>
        <v>0.10517154953341783</v>
      </c>
      <c r="L9" s="103"/>
    </row>
    <row r="10" spans="1:12" x14ac:dyDescent="0.25">
      <c r="A10" s="193" t="s">
        <v>105</v>
      </c>
      <c r="B10" s="194" t="s">
        <v>105</v>
      </c>
      <c r="C10" s="195">
        <v>65385</v>
      </c>
      <c r="D10" s="195">
        <v>109899</v>
      </c>
      <c r="E10" s="195">
        <v>96947</v>
      </c>
      <c r="F10" s="195">
        <v>91448</v>
      </c>
      <c r="G10" s="195">
        <v>97339</v>
      </c>
      <c r="H10" s="195">
        <v>99347</v>
      </c>
      <c r="I10" s="196">
        <f>IFERROR(H10/G10-1,"-")</f>
        <v>2.0628935986603425E-2</v>
      </c>
      <c r="J10" s="195">
        <f t="shared" si="0"/>
        <v>2008</v>
      </c>
      <c r="K10" s="196">
        <f>H10/H$8</f>
        <v>3.2087456219566865E-2</v>
      </c>
      <c r="L10" s="103"/>
    </row>
    <row r="11" spans="1:12" x14ac:dyDescent="0.25">
      <c r="A11" s="193" t="s">
        <v>102</v>
      </c>
      <c r="B11" s="194" t="s">
        <v>102</v>
      </c>
      <c r="C11" s="195">
        <v>88659</v>
      </c>
      <c r="D11" s="195">
        <v>183369</v>
      </c>
      <c r="E11" s="195">
        <v>232412</v>
      </c>
      <c r="F11" s="195">
        <v>223147</v>
      </c>
      <c r="G11" s="195">
        <v>227310</v>
      </c>
      <c r="H11" s="195">
        <v>226278</v>
      </c>
      <c r="I11" s="196">
        <f>IFERROR(H11/G11-1,"-")</f>
        <v>-4.5400554309092955E-3</v>
      </c>
      <c r="J11" s="195">
        <f t="shared" si="0"/>
        <v>-1032</v>
      </c>
      <c r="K11" s="196">
        <f>H11/H$8</f>
        <v>7.3084093313850962E-2</v>
      </c>
      <c r="L11" s="103"/>
    </row>
    <row r="12" spans="1:12" x14ac:dyDescent="0.25">
      <c r="A12" s="1"/>
      <c r="B12" s="190" t="s">
        <v>109</v>
      </c>
      <c r="C12" s="191">
        <v>231324</v>
      </c>
      <c r="D12" s="191">
        <v>2000930</v>
      </c>
      <c r="E12" s="191">
        <v>2480422</v>
      </c>
      <c r="F12" s="191">
        <v>2741313</v>
      </c>
      <c r="G12" s="191">
        <v>2841070</v>
      </c>
      <c r="H12" s="191">
        <v>2770507</v>
      </c>
      <c r="I12" s="192">
        <f>IFERROR(H12/G12-1,"-")</f>
        <v>-2.4836769245389911E-2</v>
      </c>
      <c r="J12" s="191">
        <f t="shared" si="0"/>
        <v>-70563</v>
      </c>
      <c r="K12" s="192">
        <f>H12/H$8</f>
        <v>0.89482845046658221</v>
      </c>
      <c r="L12" s="103"/>
    </row>
    <row r="13" spans="1:12" s="74" customFormat="1" x14ac:dyDescent="0.25">
      <c r="A13" s="193"/>
      <c r="B13" s="194" t="s">
        <v>112</v>
      </c>
      <c r="C13" s="195">
        <v>83174</v>
      </c>
      <c r="D13" s="195">
        <v>850312</v>
      </c>
      <c r="E13" s="195">
        <v>1232885</v>
      </c>
      <c r="F13" s="195">
        <v>1325573</v>
      </c>
      <c r="G13" s="195">
        <v>1342475</v>
      </c>
      <c r="H13" s="195">
        <v>1370625</v>
      </c>
      <c r="I13" s="196">
        <f t="shared" ref="I13:I20" si="1">IFERROR(H13/G13-1,"-")</f>
        <v>2.0968733123521766E-2</v>
      </c>
      <c r="J13" s="195">
        <f t="shared" si="0"/>
        <v>28150</v>
      </c>
      <c r="K13" s="196">
        <f t="shared" ref="K13:K20" si="2">H13/H$8</f>
        <v>0.44268945897655526</v>
      </c>
      <c r="L13" s="197"/>
    </row>
    <row r="14" spans="1:12" s="74" customFormat="1" x14ac:dyDescent="0.25">
      <c r="A14" s="193"/>
      <c r="B14" s="194" t="s">
        <v>115</v>
      </c>
      <c r="C14" s="195">
        <v>10444</v>
      </c>
      <c r="D14" s="195">
        <v>298448</v>
      </c>
      <c r="E14" s="195">
        <v>256441</v>
      </c>
      <c r="F14" s="195">
        <v>302013</v>
      </c>
      <c r="G14" s="195">
        <v>324116</v>
      </c>
      <c r="H14" s="195">
        <v>301721</v>
      </c>
      <c r="I14" s="196">
        <f t="shared" si="1"/>
        <v>-6.9095632427896181E-2</v>
      </c>
      <c r="J14" s="195">
        <f t="shared" si="0"/>
        <v>-22395</v>
      </c>
      <c r="K14" s="196">
        <f t="shared" si="2"/>
        <v>9.7450948473773086E-2</v>
      </c>
      <c r="L14" s="197"/>
    </row>
    <row r="15" spans="1:12" x14ac:dyDescent="0.25">
      <c r="A15" s="193"/>
      <c r="B15" s="194" t="s">
        <v>118</v>
      </c>
      <c r="C15" s="195">
        <v>35919</v>
      </c>
      <c r="D15" s="195">
        <v>99521</v>
      </c>
      <c r="E15" s="195">
        <v>129560</v>
      </c>
      <c r="F15" s="195">
        <v>162308</v>
      </c>
      <c r="G15" s="195">
        <v>162996</v>
      </c>
      <c r="H15" s="195">
        <v>148369</v>
      </c>
      <c r="I15" s="196">
        <f t="shared" si="1"/>
        <v>-8.9738398488306448E-2</v>
      </c>
      <c r="J15" s="195">
        <f t="shared" si="0"/>
        <v>-14627</v>
      </c>
      <c r="K15" s="196">
        <f t="shared" si="2"/>
        <v>4.7920760484372112E-2</v>
      </c>
      <c r="L15" s="103"/>
    </row>
    <row r="16" spans="1:12" x14ac:dyDescent="0.25">
      <c r="A16" s="193"/>
      <c r="B16" s="194" t="s">
        <v>125</v>
      </c>
      <c r="C16" s="195">
        <v>2609</v>
      </c>
      <c r="D16" s="195">
        <v>146692</v>
      </c>
      <c r="E16" s="195">
        <v>100406</v>
      </c>
      <c r="F16" s="195">
        <v>126881</v>
      </c>
      <c r="G16" s="195">
        <v>137384</v>
      </c>
      <c r="H16" s="195">
        <v>119058</v>
      </c>
      <c r="I16" s="196">
        <f t="shared" si="1"/>
        <v>-0.13339253479298896</v>
      </c>
      <c r="J16" s="195">
        <f t="shared" si="0"/>
        <v>-18326</v>
      </c>
      <c r="K16" s="196">
        <f t="shared" si="2"/>
        <v>3.8453786854048856E-2</v>
      </c>
      <c r="L16" s="103"/>
    </row>
    <row r="17" spans="1:12" x14ac:dyDescent="0.25">
      <c r="A17" s="193"/>
      <c r="B17" s="194" t="s">
        <v>121</v>
      </c>
      <c r="C17" s="195">
        <v>28253</v>
      </c>
      <c r="D17" s="195">
        <v>104460</v>
      </c>
      <c r="E17" s="195">
        <v>88293</v>
      </c>
      <c r="F17" s="195">
        <v>101995</v>
      </c>
      <c r="G17" s="195">
        <v>105772</v>
      </c>
      <c r="H17" s="195">
        <v>106136</v>
      </c>
      <c r="I17" s="196">
        <f t="shared" si="1"/>
        <v>3.4413644442763403E-3</v>
      </c>
      <c r="J17" s="195">
        <f t="shared" si="0"/>
        <v>364</v>
      </c>
      <c r="K17" s="196">
        <f t="shared" si="2"/>
        <v>3.4280192188188362E-2</v>
      </c>
      <c r="L17" s="103"/>
    </row>
    <row r="18" spans="1:12" x14ac:dyDescent="0.25">
      <c r="A18" s="193"/>
      <c r="B18" s="194" t="s">
        <v>130</v>
      </c>
      <c r="C18" s="195">
        <v>289</v>
      </c>
      <c r="D18" s="195">
        <v>35628</v>
      </c>
      <c r="E18" s="195">
        <v>45582</v>
      </c>
      <c r="F18" s="195">
        <v>33793</v>
      </c>
      <c r="G18" s="195">
        <v>33913</v>
      </c>
      <c r="H18" s="195">
        <v>34677</v>
      </c>
      <c r="I18" s="196">
        <f t="shared" si="1"/>
        <v>2.2528234010556369E-2</v>
      </c>
      <c r="J18" s="195">
        <f t="shared" si="0"/>
        <v>764</v>
      </c>
      <c r="K18" s="196">
        <f t="shared" si="2"/>
        <v>1.120010387154036E-2</v>
      </c>
      <c r="L18" s="103"/>
    </row>
    <row r="19" spans="1:12" x14ac:dyDescent="0.25">
      <c r="A19" s="193" t="s">
        <v>146</v>
      </c>
      <c r="B19" s="194" t="s">
        <v>133</v>
      </c>
      <c r="C19" s="195">
        <v>3908</v>
      </c>
      <c r="D19" s="195">
        <v>14191</v>
      </c>
      <c r="E19" s="195">
        <v>31890</v>
      </c>
      <c r="F19" s="195">
        <v>33236</v>
      </c>
      <c r="G19" s="195">
        <v>32445</v>
      </c>
      <c r="H19" s="195">
        <v>30912</v>
      </c>
      <c r="I19" s="196">
        <f t="shared" si="1"/>
        <v>-4.7249190938511321E-2</v>
      </c>
      <c r="J19" s="195">
        <f t="shared" si="0"/>
        <v>-1533</v>
      </c>
      <c r="K19" s="196">
        <f t="shared" si="2"/>
        <v>9.9840704466088656E-3</v>
      </c>
      <c r="L19" s="103"/>
    </row>
    <row r="20" spans="1:12" x14ac:dyDescent="0.25">
      <c r="A20" s="193" t="s">
        <v>147</v>
      </c>
      <c r="B20" s="199" t="s">
        <v>147</v>
      </c>
      <c r="C20" s="200">
        <f t="shared" ref="C20" si="3">C12-SUM(C13:C19)</f>
        <v>66728</v>
      </c>
      <c r="D20" s="200">
        <f t="shared" ref="D20:H20" si="4">D12-SUM(D13:D19)</f>
        <v>451678</v>
      </c>
      <c r="E20" s="200">
        <f t="shared" si="4"/>
        <v>595365</v>
      </c>
      <c r="F20" s="200">
        <f t="shared" si="4"/>
        <v>655514</v>
      </c>
      <c r="G20" s="200">
        <f t="shared" si="4"/>
        <v>701969</v>
      </c>
      <c r="H20" s="200">
        <f t="shared" si="4"/>
        <v>659009</v>
      </c>
      <c r="I20" s="201">
        <f t="shared" si="1"/>
        <v>-6.1199283729053588E-2</v>
      </c>
      <c r="J20" s="200">
        <f>H20-G20</f>
        <v>-42960</v>
      </c>
      <c r="K20" s="201">
        <f t="shared" si="2"/>
        <v>0.21284912917149526</v>
      </c>
      <c r="L20" s="103"/>
    </row>
    <row r="21" spans="1:12" s="177" customFormat="1" x14ac:dyDescent="0.25">
      <c r="A21" s="193"/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</row>
    <row r="22" spans="1:12" x14ac:dyDescent="0.25">
      <c r="A22" s="193"/>
      <c r="B22" s="187" t="s">
        <v>70</v>
      </c>
      <c r="C22" s="209">
        <v>137871</v>
      </c>
      <c r="D22" s="209">
        <v>953288</v>
      </c>
      <c r="E22" s="209">
        <v>1125132</v>
      </c>
      <c r="F22" s="209">
        <v>1207802</v>
      </c>
      <c r="G22" s="209">
        <v>1223794</v>
      </c>
      <c r="H22" s="209">
        <v>1174493</v>
      </c>
      <c r="I22" s="210">
        <f>IFERROR(H22/G22-1,"-")</f>
        <v>-4.0285374826155351E-2</v>
      </c>
      <c r="J22" s="209">
        <f>H22-G22</f>
        <v>-49301</v>
      </c>
      <c r="K22" s="210">
        <f>H22/H$8</f>
        <v>0.37934203063693667</v>
      </c>
      <c r="L22" s="103"/>
    </row>
    <row r="23" spans="1:12" x14ac:dyDescent="0.25">
      <c r="A23" s="193" t="s">
        <v>98</v>
      </c>
      <c r="B23" s="190" t="s">
        <v>99</v>
      </c>
      <c r="C23" s="191">
        <v>41506</v>
      </c>
      <c r="D23" s="191">
        <v>70918</v>
      </c>
      <c r="E23" s="191">
        <v>58177</v>
      </c>
      <c r="F23" s="191">
        <v>58380</v>
      </c>
      <c r="G23" s="191">
        <v>51466</v>
      </c>
      <c r="H23" s="191">
        <v>46505</v>
      </c>
      <c r="I23" s="192">
        <f>IFERROR(H23/G23-1,"-")</f>
        <v>-9.6393735670151193E-2</v>
      </c>
      <c r="J23" s="191">
        <f t="shared" ref="J23:J33" si="5">H23-G23</f>
        <v>-4961</v>
      </c>
      <c r="K23" s="192">
        <f>H23/H$8</f>
        <v>1.5020354429333116E-2</v>
      </c>
      <c r="L23" s="103"/>
    </row>
    <row r="24" spans="1:12" x14ac:dyDescent="0.25">
      <c r="A24" s="193" t="s">
        <v>105</v>
      </c>
      <c r="B24" s="194" t="s">
        <v>105</v>
      </c>
      <c r="C24" s="195">
        <v>22312</v>
      </c>
      <c r="D24" s="195">
        <v>19975</v>
      </c>
      <c r="E24" s="195">
        <v>15636</v>
      </c>
      <c r="F24" s="195">
        <v>16278</v>
      </c>
      <c r="G24" s="195">
        <v>14275</v>
      </c>
      <c r="H24" s="195">
        <v>15525</v>
      </c>
      <c r="I24" s="196">
        <f>IFERROR(H24/G24-1,"-")</f>
        <v>8.7565674255691839E-2</v>
      </c>
      <c r="J24" s="195">
        <f t="shared" si="5"/>
        <v>1250</v>
      </c>
      <c r="K24" s="196">
        <f>H24/H$8</f>
        <v>5.0143210948370414E-3</v>
      </c>
      <c r="L24" s="103"/>
    </row>
    <row r="25" spans="1:12" x14ac:dyDescent="0.25">
      <c r="A25" s="193" t="s">
        <v>102</v>
      </c>
      <c r="B25" s="194" t="s">
        <v>102</v>
      </c>
      <c r="C25" s="195">
        <v>19194</v>
      </c>
      <c r="D25" s="195">
        <v>50943</v>
      </c>
      <c r="E25" s="195">
        <v>42541</v>
      </c>
      <c r="F25" s="195">
        <v>42102</v>
      </c>
      <c r="G25" s="195">
        <v>37191</v>
      </c>
      <c r="H25" s="195">
        <v>30980</v>
      </c>
      <c r="I25" s="196">
        <f>IFERROR(H25/G25-1,"-")</f>
        <v>-0.16700276948724158</v>
      </c>
      <c r="J25" s="195">
        <f t="shared" si="5"/>
        <v>-6211</v>
      </c>
      <c r="K25" s="196">
        <f>H25/H$8</f>
        <v>1.0006033334496074E-2</v>
      </c>
      <c r="L25" s="103"/>
    </row>
    <row r="26" spans="1:12" x14ac:dyDescent="0.25">
      <c r="A26" s="193"/>
      <c r="B26" s="190" t="s">
        <v>109</v>
      </c>
      <c r="C26" s="191">
        <v>96365</v>
      </c>
      <c r="D26" s="191">
        <v>882370</v>
      </c>
      <c r="E26" s="191">
        <v>1066955</v>
      </c>
      <c r="F26" s="191">
        <v>1149422</v>
      </c>
      <c r="G26" s="191">
        <v>1172328</v>
      </c>
      <c r="H26" s="191">
        <v>1127988</v>
      </c>
      <c r="I26" s="192">
        <f>IFERROR(H26/G26-1,"-")</f>
        <v>-3.7822179458308569E-2</v>
      </c>
      <c r="J26" s="191">
        <f t="shared" si="5"/>
        <v>-44340</v>
      </c>
      <c r="K26" s="192">
        <f>H26/H$8</f>
        <v>0.36432167620760353</v>
      </c>
      <c r="L26" s="103"/>
    </row>
    <row r="27" spans="1:12" s="74" customFormat="1" x14ac:dyDescent="0.25">
      <c r="A27" s="193"/>
      <c r="B27" s="194" t="s">
        <v>112</v>
      </c>
      <c r="C27" s="195">
        <v>35708</v>
      </c>
      <c r="D27" s="195">
        <v>392755</v>
      </c>
      <c r="E27" s="195">
        <v>572438</v>
      </c>
      <c r="F27" s="195">
        <v>604663</v>
      </c>
      <c r="G27" s="195">
        <v>615103</v>
      </c>
      <c r="H27" s="195">
        <v>619551</v>
      </c>
      <c r="I27" s="196">
        <f t="shared" ref="I27:I34" si="6">IFERROR(H27/G27-1,"-")</f>
        <v>7.2313092278855073E-3</v>
      </c>
      <c r="J27" s="195">
        <f t="shared" si="5"/>
        <v>4448</v>
      </c>
      <c r="K27" s="196">
        <f t="shared" ref="K27:K34" si="7">H27/H$8</f>
        <v>0.20010484049129687</v>
      </c>
      <c r="L27" s="197"/>
    </row>
    <row r="28" spans="1:12" s="74" customFormat="1" x14ac:dyDescent="0.25">
      <c r="A28" s="193"/>
      <c r="B28" s="194" t="s">
        <v>115</v>
      </c>
      <c r="C28" s="195">
        <v>4111</v>
      </c>
      <c r="D28" s="195">
        <v>142406</v>
      </c>
      <c r="E28" s="195">
        <v>119919</v>
      </c>
      <c r="F28" s="195">
        <v>130638</v>
      </c>
      <c r="G28" s="195">
        <v>135499</v>
      </c>
      <c r="H28" s="195">
        <v>123159</v>
      </c>
      <c r="I28" s="196">
        <f t="shared" si="6"/>
        <v>-9.1070782810205197E-2</v>
      </c>
      <c r="J28" s="195">
        <f t="shared" si="5"/>
        <v>-12340</v>
      </c>
      <c r="K28" s="196">
        <f t="shared" si="7"/>
        <v>3.9778342783834797E-2</v>
      </c>
      <c r="L28" s="197"/>
    </row>
    <row r="29" spans="1:12" x14ac:dyDescent="0.25">
      <c r="A29" s="193"/>
      <c r="B29" s="194" t="s">
        <v>118</v>
      </c>
      <c r="C29" s="195">
        <v>14907</v>
      </c>
      <c r="D29" s="195">
        <v>36554</v>
      </c>
      <c r="E29" s="195">
        <v>43770</v>
      </c>
      <c r="F29" s="195">
        <v>54486</v>
      </c>
      <c r="G29" s="195">
        <v>37926</v>
      </c>
      <c r="H29" s="195">
        <v>35064</v>
      </c>
      <c r="I29" s="196">
        <f t="shared" si="6"/>
        <v>-7.5462743236829666E-2</v>
      </c>
      <c r="J29" s="195">
        <f t="shared" si="5"/>
        <v>-2862</v>
      </c>
      <c r="K29" s="196">
        <f t="shared" si="7"/>
        <v>1.1325098542310211E-2</v>
      </c>
      <c r="L29" s="103"/>
    </row>
    <row r="30" spans="1:12" x14ac:dyDescent="0.25">
      <c r="A30" s="193"/>
      <c r="B30" s="194" t="s">
        <v>125</v>
      </c>
      <c r="C30" s="195">
        <v>873</v>
      </c>
      <c r="D30" s="195">
        <v>69678</v>
      </c>
      <c r="E30" s="195">
        <v>45028</v>
      </c>
      <c r="F30" s="195">
        <v>51497</v>
      </c>
      <c r="G30" s="195">
        <v>54475</v>
      </c>
      <c r="H30" s="195">
        <v>48260</v>
      </c>
      <c r="I30" s="196">
        <f t="shared" si="6"/>
        <v>-0.11408903166590179</v>
      </c>
      <c r="J30" s="195">
        <f t="shared" si="5"/>
        <v>-6215</v>
      </c>
      <c r="K30" s="196">
        <f t="shared" si="7"/>
        <v>1.5587190727010347E-2</v>
      </c>
      <c r="L30" s="103"/>
    </row>
    <row r="31" spans="1:12" x14ac:dyDescent="0.25">
      <c r="A31" s="193"/>
      <c r="B31" s="194" t="s">
        <v>121</v>
      </c>
      <c r="C31" s="195">
        <v>15055</v>
      </c>
      <c r="D31" s="195">
        <v>56784</v>
      </c>
      <c r="E31" s="195">
        <v>49340</v>
      </c>
      <c r="F31" s="195">
        <v>53334</v>
      </c>
      <c r="G31" s="195">
        <v>56505</v>
      </c>
      <c r="H31" s="195">
        <v>56793</v>
      </c>
      <c r="I31" s="196">
        <f t="shared" si="6"/>
        <v>5.0968940801698892E-3</v>
      </c>
      <c r="J31" s="195">
        <f t="shared" si="5"/>
        <v>288</v>
      </c>
      <c r="K31" s="196">
        <f t="shared" si="7"/>
        <v>1.8343210173209671E-2</v>
      </c>
      <c r="L31" s="103"/>
    </row>
    <row r="32" spans="1:12" x14ac:dyDescent="0.25">
      <c r="A32" s="193"/>
      <c r="B32" s="194" t="s">
        <v>130</v>
      </c>
      <c r="C32" s="195">
        <v>76</v>
      </c>
      <c r="D32" s="195">
        <v>12796</v>
      </c>
      <c r="E32" s="195">
        <v>16522</v>
      </c>
      <c r="F32" s="195">
        <v>13495</v>
      </c>
      <c r="G32" s="195">
        <v>14121</v>
      </c>
      <c r="H32" s="195">
        <v>15091</v>
      </c>
      <c r="I32" s="196">
        <f t="shared" si="6"/>
        <v>6.869201897882582E-2</v>
      </c>
      <c r="J32" s="195">
        <f t="shared" si="5"/>
        <v>970</v>
      </c>
      <c r="K32" s="196">
        <f t="shared" si="7"/>
        <v>4.874146192733385E-3</v>
      </c>
      <c r="L32" s="103"/>
    </row>
    <row r="33" spans="1:12" x14ac:dyDescent="0.25">
      <c r="A33" s="193" t="s">
        <v>146</v>
      </c>
      <c r="B33" s="194" t="s">
        <v>133</v>
      </c>
      <c r="C33" s="195">
        <v>932</v>
      </c>
      <c r="D33" s="195">
        <v>3806</v>
      </c>
      <c r="E33" s="195">
        <v>12360</v>
      </c>
      <c r="F33" s="195">
        <v>12009</v>
      </c>
      <c r="G33" s="195">
        <v>13301</v>
      </c>
      <c r="H33" s="195">
        <v>12156</v>
      </c>
      <c r="I33" s="196">
        <f t="shared" si="6"/>
        <v>-8.6083753101270588E-2</v>
      </c>
      <c r="J33" s="195">
        <f t="shared" si="5"/>
        <v>-1145</v>
      </c>
      <c r="K33" s="196">
        <f t="shared" si="7"/>
        <v>3.9261891934839989E-3</v>
      </c>
      <c r="L33" s="103"/>
    </row>
    <row r="34" spans="1:12" x14ac:dyDescent="0.25">
      <c r="A34" s="193" t="s">
        <v>147</v>
      </c>
      <c r="B34" s="199" t="s">
        <v>147</v>
      </c>
      <c r="C34" s="200">
        <f t="shared" ref="C34" si="8">C26-SUM(C27:C33)</f>
        <v>24703</v>
      </c>
      <c r="D34" s="200">
        <f t="shared" ref="D34:H34" si="9">D26-SUM(D27:D33)</f>
        <v>167591</v>
      </c>
      <c r="E34" s="200">
        <f t="shared" si="9"/>
        <v>207578</v>
      </c>
      <c r="F34" s="200">
        <f t="shared" si="9"/>
        <v>229300</v>
      </c>
      <c r="G34" s="200">
        <f t="shared" si="9"/>
        <v>245398</v>
      </c>
      <c r="H34" s="200">
        <f t="shared" si="9"/>
        <v>217914</v>
      </c>
      <c r="I34" s="201">
        <f t="shared" si="6"/>
        <v>-0.11199765279260632</v>
      </c>
      <c r="J34" s="200">
        <f>H34-G34</f>
        <v>-27484</v>
      </c>
      <c r="K34" s="201">
        <f t="shared" si="7"/>
        <v>7.0382658103724266E-2</v>
      </c>
      <c r="L34" s="103"/>
    </row>
    <row r="35" spans="1:12" s="177" customFormat="1" x14ac:dyDescent="0.25">
      <c r="A35" s="193"/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2" x14ac:dyDescent="0.25">
      <c r="A36" s="193"/>
      <c r="B36" s="187" t="s">
        <v>70</v>
      </c>
      <c r="C36" s="209">
        <v>101639</v>
      </c>
      <c r="D36" s="209">
        <v>627412</v>
      </c>
      <c r="E36" s="209">
        <v>801936</v>
      </c>
      <c r="F36" s="209">
        <v>863416</v>
      </c>
      <c r="G36" s="209">
        <v>870321</v>
      </c>
      <c r="H36" s="209">
        <v>899430</v>
      </c>
      <c r="I36" s="210">
        <f>IFERROR(H36/G36-1,"-")</f>
        <v>3.3446280165594144E-2</v>
      </c>
      <c r="J36" s="209">
        <f>H36-G36</f>
        <v>29109</v>
      </c>
      <c r="K36" s="210">
        <f>H36/H$8</f>
        <v>0.2905011801822403</v>
      </c>
      <c r="L36" s="103"/>
    </row>
    <row r="37" spans="1:12" x14ac:dyDescent="0.25">
      <c r="A37" s="193" t="s">
        <v>98</v>
      </c>
      <c r="B37" s="190" t="s">
        <v>99</v>
      </c>
      <c r="C37" s="191">
        <v>28673</v>
      </c>
      <c r="D37" s="191">
        <v>36401</v>
      </c>
      <c r="E37" s="191">
        <v>38548</v>
      </c>
      <c r="F37" s="191">
        <v>44421</v>
      </c>
      <c r="G37" s="191">
        <v>43620</v>
      </c>
      <c r="H37" s="191">
        <v>48318</v>
      </c>
      <c r="I37" s="192">
        <f>IFERROR(H37/G37-1,"-")</f>
        <v>0.10770288858321875</v>
      </c>
      <c r="J37" s="191">
        <f t="shared" ref="J37:J47" si="10">H37-G37</f>
        <v>4698</v>
      </c>
      <c r="K37" s="192">
        <f>H37/H$8</f>
        <v>1.5605923778443555E-2</v>
      </c>
      <c r="L37" s="103"/>
    </row>
    <row r="38" spans="1:12" x14ac:dyDescent="0.25">
      <c r="A38" s="193" t="s">
        <v>105</v>
      </c>
      <c r="B38" s="194" t="s">
        <v>105</v>
      </c>
      <c r="C38" s="195">
        <v>12101</v>
      </c>
      <c r="D38" s="195">
        <v>11643</v>
      </c>
      <c r="E38" s="195">
        <v>9891</v>
      </c>
      <c r="F38" s="195">
        <v>20275</v>
      </c>
      <c r="G38" s="195">
        <v>16988</v>
      </c>
      <c r="H38" s="195">
        <v>17885</v>
      </c>
      <c r="I38" s="196">
        <f>IFERROR(H38/G38-1,"-")</f>
        <v>5.2801977866729466E-2</v>
      </c>
      <c r="J38" s="195">
        <f t="shared" si="10"/>
        <v>897</v>
      </c>
      <c r="K38" s="196">
        <f>H38/H$8</f>
        <v>5.7765624979813522E-3</v>
      </c>
      <c r="L38" s="103"/>
    </row>
    <row r="39" spans="1:12" x14ac:dyDescent="0.25">
      <c r="A39" s="193" t="s">
        <v>102</v>
      </c>
      <c r="B39" s="194" t="s">
        <v>102</v>
      </c>
      <c r="C39" s="195">
        <v>16572</v>
      </c>
      <c r="D39" s="195">
        <v>24758</v>
      </c>
      <c r="E39" s="195">
        <v>28657</v>
      </c>
      <c r="F39" s="195">
        <v>24146</v>
      </c>
      <c r="G39" s="195">
        <v>26632</v>
      </c>
      <c r="H39" s="195">
        <v>30433</v>
      </c>
      <c r="I39" s="196">
        <f>IFERROR(H39/G39-1,"-")</f>
        <v>0.14272303995193747</v>
      </c>
      <c r="J39" s="195">
        <f t="shared" si="10"/>
        <v>3801</v>
      </c>
      <c r="K39" s="196">
        <f>H39/H$8</f>
        <v>9.8293612804622021E-3</v>
      </c>
      <c r="L39" s="103"/>
    </row>
    <row r="40" spans="1:12" x14ac:dyDescent="0.25">
      <c r="A40" s="193"/>
      <c r="B40" s="190" t="s">
        <v>109</v>
      </c>
      <c r="C40" s="191">
        <v>72966</v>
      </c>
      <c r="D40" s="191">
        <v>591011</v>
      </c>
      <c r="E40" s="191">
        <v>763388</v>
      </c>
      <c r="F40" s="191">
        <v>818995</v>
      </c>
      <c r="G40" s="191">
        <v>826701</v>
      </c>
      <c r="H40" s="191">
        <v>851112</v>
      </c>
      <c r="I40" s="192">
        <f>IFERROR(H40/G40-1,"-")</f>
        <v>2.952820911066989E-2</v>
      </c>
      <c r="J40" s="191">
        <f t="shared" si="10"/>
        <v>24411</v>
      </c>
      <c r="K40" s="192">
        <f>H40/H$8</f>
        <v>0.27489525640379675</v>
      </c>
      <c r="L40" s="103"/>
    </row>
    <row r="41" spans="1:12" s="74" customFormat="1" x14ac:dyDescent="0.25">
      <c r="A41" s="193"/>
      <c r="B41" s="194" t="s">
        <v>112</v>
      </c>
      <c r="C41" s="195">
        <v>32753</v>
      </c>
      <c r="D41" s="195">
        <v>282050</v>
      </c>
      <c r="E41" s="195">
        <v>411383</v>
      </c>
      <c r="F41" s="195">
        <v>438839</v>
      </c>
      <c r="G41" s="195">
        <v>440688</v>
      </c>
      <c r="H41" s="195">
        <v>467410</v>
      </c>
      <c r="I41" s="196">
        <f t="shared" ref="I41:I48" si="11">IFERROR(H41/G41-1,"-")</f>
        <v>6.0637003957448421E-2</v>
      </c>
      <c r="J41" s="195">
        <f t="shared" si="10"/>
        <v>26722</v>
      </c>
      <c r="K41" s="196">
        <f t="shared" ref="K41:K48" si="12">H41/H$8</f>
        <v>0.15096578569647548</v>
      </c>
      <c r="L41" s="197"/>
    </row>
    <row r="42" spans="1:12" s="74" customFormat="1" x14ac:dyDescent="0.25">
      <c r="A42" s="193"/>
      <c r="B42" s="194" t="s">
        <v>115</v>
      </c>
      <c r="C42" s="195">
        <v>1419</v>
      </c>
      <c r="D42" s="195">
        <v>30169</v>
      </c>
      <c r="E42" s="195">
        <v>22674</v>
      </c>
      <c r="F42" s="195">
        <v>29023</v>
      </c>
      <c r="G42" s="195">
        <v>30463</v>
      </c>
      <c r="H42" s="195">
        <v>33053</v>
      </c>
      <c r="I42" s="196">
        <f t="shared" si="11"/>
        <v>8.5021173226537128E-2</v>
      </c>
      <c r="J42" s="195">
        <f t="shared" si="10"/>
        <v>2590</v>
      </c>
      <c r="K42" s="196">
        <f t="shared" si="12"/>
        <v>1.0675578431410548E-2</v>
      </c>
      <c r="L42" s="197"/>
    </row>
    <row r="43" spans="1:12" x14ac:dyDescent="0.25">
      <c r="A43" s="193"/>
      <c r="B43" s="194" t="s">
        <v>118</v>
      </c>
      <c r="C43" s="195">
        <v>7424</v>
      </c>
      <c r="D43" s="195">
        <v>14695</v>
      </c>
      <c r="E43" s="195">
        <v>19469</v>
      </c>
      <c r="F43" s="195">
        <v>23246</v>
      </c>
      <c r="G43" s="195">
        <v>21587</v>
      </c>
      <c r="H43" s="195">
        <v>21510</v>
      </c>
      <c r="I43" s="196">
        <f t="shared" si="11"/>
        <v>-3.5669615972575563E-3</v>
      </c>
      <c r="J43" s="195">
        <f t="shared" si="10"/>
        <v>-77</v>
      </c>
      <c r="K43" s="196">
        <f t="shared" si="12"/>
        <v>6.9473782125568286E-3</v>
      </c>
      <c r="L43" s="103"/>
    </row>
    <row r="44" spans="1:12" x14ac:dyDescent="0.25">
      <c r="A44" s="193"/>
      <c r="B44" s="194" t="s">
        <v>125</v>
      </c>
      <c r="C44" s="195">
        <v>1075</v>
      </c>
      <c r="D44" s="195">
        <v>49996</v>
      </c>
      <c r="E44" s="195">
        <v>37257</v>
      </c>
      <c r="F44" s="195">
        <v>47048</v>
      </c>
      <c r="G44" s="195">
        <v>49338</v>
      </c>
      <c r="H44" s="195">
        <v>42491</v>
      </c>
      <c r="I44" s="196">
        <f t="shared" si="11"/>
        <v>-0.13877741294742385</v>
      </c>
      <c r="J44" s="195">
        <f t="shared" si="10"/>
        <v>-6847</v>
      </c>
      <c r="K44" s="196">
        <f t="shared" si="12"/>
        <v>1.3723898076696989E-2</v>
      </c>
      <c r="L44" s="103"/>
    </row>
    <row r="45" spans="1:12" x14ac:dyDescent="0.25">
      <c r="A45" s="193"/>
      <c r="B45" s="194" t="s">
        <v>121</v>
      </c>
      <c r="C45" s="195">
        <v>8123</v>
      </c>
      <c r="D45" s="195">
        <v>32377</v>
      </c>
      <c r="E45" s="195">
        <v>28129</v>
      </c>
      <c r="F45" s="195">
        <v>34381</v>
      </c>
      <c r="G45" s="195">
        <v>32149</v>
      </c>
      <c r="H45" s="195">
        <v>31437</v>
      </c>
      <c r="I45" s="196">
        <f t="shared" si="11"/>
        <v>-2.2146878596534858E-2</v>
      </c>
      <c r="J45" s="195">
        <f t="shared" si="10"/>
        <v>-712</v>
      </c>
      <c r="K45" s="196">
        <f t="shared" si="12"/>
        <v>1.0153636860443934E-2</v>
      </c>
      <c r="L45" s="103"/>
    </row>
    <row r="46" spans="1:12" x14ac:dyDescent="0.25">
      <c r="A46" s="193"/>
      <c r="B46" s="194" t="s">
        <v>130</v>
      </c>
      <c r="C46" s="195">
        <v>144</v>
      </c>
      <c r="D46" s="195">
        <v>16294</v>
      </c>
      <c r="E46" s="195">
        <v>14250</v>
      </c>
      <c r="F46" s="195">
        <v>13071</v>
      </c>
      <c r="G46" s="195">
        <v>11574</v>
      </c>
      <c r="H46" s="195">
        <v>12468</v>
      </c>
      <c r="I46" s="196">
        <f t="shared" si="11"/>
        <v>7.7242094349403878E-2</v>
      </c>
      <c r="J46" s="195">
        <f t="shared" si="10"/>
        <v>894</v>
      </c>
      <c r="K46" s="196">
        <f t="shared" si="12"/>
        <v>4.0269600908488402E-3</v>
      </c>
      <c r="L46" s="103"/>
    </row>
    <row r="47" spans="1:12" x14ac:dyDescent="0.25">
      <c r="A47" s="193" t="s">
        <v>146</v>
      </c>
      <c r="B47" s="194" t="s">
        <v>133</v>
      </c>
      <c r="C47" s="195">
        <v>2086</v>
      </c>
      <c r="D47" s="195">
        <v>7257</v>
      </c>
      <c r="E47" s="195">
        <v>12144</v>
      </c>
      <c r="F47" s="195">
        <v>13940</v>
      </c>
      <c r="G47" s="195">
        <v>12474</v>
      </c>
      <c r="H47" s="195">
        <v>11925</v>
      </c>
      <c r="I47" s="196">
        <f t="shared" si="11"/>
        <v>-4.4011544011544057E-2</v>
      </c>
      <c r="J47" s="195">
        <f t="shared" si="10"/>
        <v>-549</v>
      </c>
      <c r="K47" s="196">
        <f t="shared" si="12"/>
        <v>3.8515799713965682E-3</v>
      </c>
      <c r="L47" s="103"/>
    </row>
    <row r="48" spans="1:12" x14ac:dyDescent="0.25">
      <c r="A48" s="193" t="s">
        <v>147</v>
      </c>
      <c r="B48" s="199" t="s">
        <v>147</v>
      </c>
      <c r="C48" s="200">
        <f t="shared" ref="C48" si="13">C40-SUM(C41:C47)</f>
        <v>19942</v>
      </c>
      <c r="D48" s="200">
        <f t="shared" ref="D48:H48" si="14">D40-SUM(D41:D47)</f>
        <v>158173</v>
      </c>
      <c r="E48" s="200">
        <f t="shared" si="14"/>
        <v>218082</v>
      </c>
      <c r="F48" s="200">
        <f t="shared" si="14"/>
        <v>219447</v>
      </c>
      <c r="G48" s="200">
        <f t="shared" si="14"/>
        <v>228428</v>
      </c>
      <c r="H48" s="200">
        <f t="shared" si="14"/>
        <v>230818</v>
      </c>
      <c r="I48" s="201">
        <f t="shared" si="11"/>
        <v>1.0462815416673932E-2</v>
      </c>
      <c r="J48" s="200">
        <f>H48-G48</f>
        <v>2390</v>
      </c>
      <c r="K48" s="201">
        <f t="shared" si="12"/>
        <v>7.4550439063967563E-2</v>
      </c>
      <c r="L48" s="103"/>
    </row>
    <row r="49" spans="1:12" s="177" customFormat="1" x14ac:dyDescent="0.25">
      <c r="A49" s="193"/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</row>
    <row r="50" spans="1:12" x14ac:dyDescent="0.25">
      <c r="A50" s="193"/>
      <c r="B50" s="187" t="s">
        <v>70</v>
      </c>
      <c r="C50" s="209">
        <v>1107</v>
      </c>
      <c r="D50" s="209">
        <v>14521</v>
      </c>
      <c r="E50" s="209">
        <v>14638</v>
      </c>
      <c r="F50" s="209">
        <v>17811</v>
      </c>
      <c r="G50" s="209">
        <v>17886</v>
      </c>
      <c r="H50" s="209">
        <v>17145</v>
      </c>
      <c r="I50" s="210">
        <f>IFERROR(H50/G50-1,"-")</f>
        <v>-4.1429050654142929E-2</v>
      </c>
      <c r="J50" s="209">
        <f>H50-G50</f>
        <v>-741</v>
      </c>
      <c r="K50" s="210">
        <f>H50/H$8</f>
        <v>5.5375546003852546E-3</v>
      </c>
      <c r="L50" s="103"/>
    </row>
    <row r="51" spans="1:12" x14ac:dyDescent="0.25">
      <c r="A51" s="193" t="s">
        <v>98</v>
      </c>
      <c r="B51" s="190" t="s">
        <v>99</v>
      </c>
      <c r="C51" s="191">
        <v>528</v>
      </c>
      <c r="D51" s="191">
        <v>2051</v>
      </c>
      <c r="E51" s="191">
        <v>2115</v>
      </c>
      <c r="F51" s="191">
        <v>2565</v>
      </c>
      <c r="G51" s="191">
        <v>2189</v>
      </c>
      <c r="H51" s="191">
        <v>2288</v>
      </c>
      <c r="I51" s="192">
        <f>IFERROR(H51/G51-1,"-")</f>
        <v>4.5226130653266416E-2</v>
      </c>
      <c r="J51" s="191">
        <f t="shared" ref="J51:J61" si="15">H51-G51</f>
        <v>99</v>
      </c>
      <c r="K51" s="192">
        <f>H51/H$8</f>
        <v>7.3898658067550092E-4</v>
      </c>
      <c r="L51" s="103"/>
    </row>
    <row r="52" spans="1:12" x14ac:dyDescent="0.25">
      <c r="A52" s="193" t="s">
        <v>105</v>
      </c>
      <c r="B52" s="194" t="s">
        <v>105</v>
      </c>
      <c r="C52" s="195">
        <v>422</v>
      </c>
      <c r="D52" s="195">
        <v>795</v>
      </c>
      <c r="E52" s="195">
        <v>581</v>
      </c>
      <c r="F52" s="195">
        <v>1155</v>
      </c>
      <c r="G52" s="195">
        <v>1414</v>
      </c>
      <c r="H52" s="195">
        <v>943</v>
      </c>
      <c r="I52" s="196">
        <f>IFERROR(H52/G52-1,"-")</f>
        <v>-0.33309759547383311</v>
      </c>
      <c r="J52" s="195">
        <f t="shared" si="15"/>
        <v>-471</v>
      </c>
      <c r="K52" s="196">
        <f>H52/H$8</f>
        <v>3.04573577612324E-4</v>
      </c>
      <c r="L52" s="103"/>
    </row>
    <row r="53" spans="1:12" x14ac:dyDescent="0.25">
      <c r="A53" s="193" t="s">
        <v>102</v>
      </c>
      <c r="B53" s="194" t="s">
        <v>102</v>
      </c>
      <c r="C53" s="195">
        <v>106</v>
      </c>
      <c r="D53" s="195">
        <v>1256</v>
      </c>
      <c r="E53" s="195">
        <v>1534</v>
      </c>
      <c r="F53" s="195">
        <v>1410</v>
      </c>
      <c r="G53" s="195">
        <v>775</v>
      </c>
      <c r="H53" s="195">
        <v>1345</v>
      </c>
      <c r="I53" s="196">
        <f>IFERROR(H53/G53-1,"-")</f>
        <v>0.73548387096774204</v>
      </c>
      <c r="J53" s="195">
        <f t="shared" si="15"/>
        <v>570</v>
      </c>
      <c r="K53" s="196">
        <f>H53/H$8</f>
        <v>4.3441300306317691E-4</v>
      </c>
      <c r="L53" s="103"/>
    </row>
    <row r="54" spans="1:12" x14ac:dyDescent="0.25">
      <c r="A54" s="193"/>
      <c r="B54" s="190" t="s">
        <v>109</v>
      </c>
      <c r="C54" s="191">
        <v>579</v>
      </c>
      <c r="D54" s="191">
        <v>12470</v>
      </c>
      <c r="E54" s="191">
        <v>12523</v>
      </c>
      <c r="F54" s="191">
        <v>15246</v>
      </c>
      <c r="G54" s="191">
        <v>15697</v>
      </c>
      <c r="H54" s="191">
        <v>14857</v>
      </c>
      <c r="I54" s="192">
        <f>IFERROR(H54/G54-1,"-")</f>
        <v>-5.3513410205771827E-2</v>
      </c>
      <c r="J54" s="191">
        <f t="shared" si="15"/>
        <v>-840</v>
      </c>
      <c r="K54" s="192">
        <f>H54/H$8</f>
        <v>4.7985680197097542E-3</v>
      </c>
      <c r="L54" s="103"/>
    </row>
    <row r="55" spans="1:12" s="74" customFormat="1" x14ac:dyDescent="0.25">
      <c r="A55" s="193"/>
      <c r="B55" s="194" t="s">
        <v>112</v>
      </c>
      <c r="C55" s="195">
        <v>110</v>
      </c>
      <c r="D55" s="195">
        <v>4920</v>
      </c>
      <c r="E55" s="195">
        <v>5929</v>
      </c>
      <c r="F55" s="195">
        <v>5420</v>
      </c>
      <c r="G55" s="195">
        <v>6559</v>
      </c>
      <c r="H55" s="195">
        <v>5927</v>
      </c>
      <c r="I55" s="196">
        <f t="shared" ref="I55:I62" si="16">IFERROR(H55/G55-1,"-")</f>
        <v>-9.6356151852416527E-2</v>
      </c>
      <c r="J55" s="195">
        <f t="shared" si="15"/>
        <v>-632</v>
      </c>
      <c r="K55" s="196">
        <f t="shared" ref="K55:K62" si="17">H55/H$8</f>
        <v>1.9143240662865795E-3</v>
      </c>
      <c r="L55" s="197"/>
    </row>
    <row r="56" spans="1:12" s="74" customFormat="1" x14ac:dyDescent="0.25">
      <c r="A56" s="193"/>
      <c r="B56" s="194" t="s">
        <v>115</v>
      </c>
      <c r="C56" s="195">
        <v>210</v>
      </c>
      <c r="D56" s="195">
        <v>3806</v>
      </c>
      <c r="E56" s="195">
        <v>2086</v>
      </c>
      <c r="F56" s="195">
        <v>3442</v>
      </c>
      <c r="G56" s="195">
        <v>3103</v>
      </c>
      <c r="H56" s="195">
        <v>3560</v>
      </c>
      <c r="I56" s="196">
        <f t="shared" si="16"/>
        <v>0.14727682887528193</v>
      </c>
      <c r="J56" s="195">
        <f t="shared" si="15"/>
        <v>457</v>
      </c>
      <c r="K56" s="196">
        <f t="shared" si="17"/>
        <v>1.1498217776244682E-3</v>
      </c>
      <c r="L56" s="197"/>
    </row>
    <row r="57" spans="1:12" x14ac:dyDescent="0.25">
      <c r="A57" s="193"/>
      <c r="B57" s="194" t="s">
        <v>118</v>
      </c>
      <c r="C57" s="195">
        <v>10</v>
      </c>
      <c r="D57" s="195">
        <v>582</v>
      </c>
      <c r="E57" s="195">
        <v>562</v>
      </c>
      <c r="F57" s="195">
        <v>717</v>
      </c>
      <c r="G57" s="195">
        <v>709</v>
      </c>
      <c r="H57" s="195">
        <v>646</v>
      </c>
      <c r="I57" s="196">
        <f t="shared" si="16"/>
        <v>-8.8857545839210128E-2</v>
      </c>
      <c r="J57" s="195">
        <f t="shared" si="15"/>
        <v>-63</v>
      </c>
      <c r="K57" s="196">
        <f t="shared" si="17"/>
        <v>2.0864743492848497E-4</v>
      </c>
      <c r="L57" s="103"/>
    </row>
    <row r="58" spans="1:12" x14ac:dyDescent="0.25">
      <c r="A58" s="193"/>
      <c r="B58" s="194" t="s">
        <v>125</v>
      </c>
      <c r="C58" s="195">
        <v>17</v>
      </c>
      <c r="D58" s="195">
        <v>272</v>
      </c>
      <c r="E58" s="195">
        <v>281</v>
      </c>
      <c r="F58" s="195">
        <v>435</v>
      </c>
      <c r="G58" s="195">
        <v>490</v>
      </c>
      <c r="H58" s="195">
        <v>396</v>
      </c>
      <c r="I58" s="196">
        <f t="shared" si="16"/>
        <v>-0.19183673469387752</v>
      </c>
      <c r="J58" s="195">
        <f t="shared" si="15"/>
        <v>-94</v>
      </c>
      <c r="K58" s="196">
        <f t="shared" si="17"/>
        <v>1.2790152357845209E-4</v>
      </c>
      <c r="L58" s="103"/>
    </row>
    <row r="59" spans="1:12" x14ac:dyDescent="0.25">
      <c r="A59" s="193"/>
      <c r="B59" s="194" t="s">
        <v>121</v>
      </c>
      <c r="C59" s="195">
        <v>25</v>
      </c>
      <c r="D59" s="195">
        <v>156</v>
      </c>
      <c r="E59" s="195">
        <v>46</v>
      </c>
      <c r="F59" s="195">
        <v>181</v>
      </c>
      <c r="G59" s="195">
        <v>440</v>
      </c>
      <c r="H59" s="195">
        <v>246</v>
      </c>
      <c r="I59" s="196">
        <f t="shared" si="16"/>
        <v>-0.44090909090909092</v>
      </c>
      <c r="J59" s="195">
        <f t="shared" si="15"/>
        <v>-194</v>
      </c>
      <c r="K59" s="196">
        <f t="shared" si="17"/>
        <v>7.9453976768432358E-5</v>
      </c>
      <c r="L59" s="103"/>
    </row>
    <row r="60" spans="1:12" x14ac:dyDescent="0.25">
      <c r="A60" s="193"/>
      <c r="B60" s="194" t="s">
        <v>130</v>
      </c>
      <c r="C60" s="195">
        <v>0</v>
      </c>
      <c r="D60" s="195">
        <v>20</v>
      </c>
      <c r="E60" s="195">
        <v>17</v>
      </c>
      <c r="F60" s="195">
        <v>20</v>
      </c>
      <c r="G60" s="195">
        <v>10</v>
      </c>
      <c r="H60" s="195">
        <v>51</v>
      </c>
      <c r="I60" s="196">
        <f t="shared" si="16"/>
        <v>4.0999999999999996</v>
      </c>
      <c r="J60" s="195">
        <f t="shared" si="15"/>
        <v>41</v>
      </c>
      <c r="K60" s="196">
        <f t="shared" si="17"/>
        <v>1.6472165915406706E-5</v>
      </c>
      <c r="L60" s="103"/>
    </row>
    <row r="61" spans="1:12" x14ac:dyDescent="0.25">
      <c r="A61" s="193" t="s">
        <v>146</v>
      </c>
      <c r="B61" s="194" t="s">
        <v>133</v>
      </c>
      <c r="C61" s="195">
        <v>6</v>
      </c>
      <c r="D61" s="195">
        <v>52</v>
      </c>
      <c r="E61" s="195">
        <v>13</v>
      </c>
      <c r="F61" s="195">
        <v>62</v>
      </c>
      <c r="G61" s="195">
        <v>26</v>
      </c>
      <c r="H61" s="195">
        <v>37</v>
      </c>
      <c r="I61" s="196">
        <f t="shared" si="16"/>
        <v>0.42307692307692313</v>
      </c>
      <c r="J61" s="195">
        <f t="shared" si="15"/>
        <v>11</v>
      </c>
      <c r="K61" s="196">
        <f t="shared" si="17"/>
        <v>1.1950394879804866E-5</v>
      </c>
      <c r="L61" s="103"/>
    </row>
    <row r="62" spans="1:12" x14ac:dyDescent="0.25">
      <c r="A62" s="193" t="s">
        <v>147</v>
      </c>
      <c r="B62" s="199" t="s">
        <v>147</v>
      </c>
      <c r="C62" s="200">
        <f t="shared" ref="C62" si="18">C54-SUM(C55:C61)</f>
        <v>201</v>
      </c>
      <c r="D62" s="200">
        <f t="shared" ref="D62:H62" si="19">D54-SUM(D55:D61)</f>
        <v>2662</v>
      </c>
      <c r="E62" s="200">
        <f t="shared" si="19"/>
        <v>3589</v>
      </c>
      <c r="F62" s="200">
        <f t="shared" si="19"/>
        <v>4969</v>
      </c>
      <c r="G62" s="200">
        <f t="shared" si="19"/>
        <v>4360</v>
      </c>
      <c r="H62" s="200">
        <f t="shared" si="19"/>
        <v>3994</v>
      </c>
      <c r="I62" s="201">
        <f t="shared" si="16"/>
        <v>-8.3944954128440386E-2</v>
      </c>
      <c r="J62" s="200">
        <f>H62-G62</f>
        <v>-366</v>
      </c>
      <c r="K62" s="201">
        <f t="shared" si="17"/>
        <v>1.2899966797281252E-3</v>
      </c>
      <c r="L62" s="103"/>
    </row>
    <row r="63" spans="1:12" s="177" customFormat="1" x14ac:dyDescent="0.25">
      <c r="A63" s="193"/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</row>
    <row r="64" spans="1:12" x14ac:dyDescent="0.25">
      <c r="A64" s="193"/>
      <c r="B64" s="187" t="s">
        <v>70</v>
      </c>
      <c r="C64" s="209">
        <v>15842</v>
      </c>
      <c r="D64" s="209">
        <v>74494</v>
      </c>
      <c r="E64" s="209">
        <v>96232</v>
      </c>
      <c r="F64" s="209">
        <v>103075</v>
      </c>
      <c r="G64" s="209">
        <v>146033</v>
      </c>
      <c r="H64" s="209">
        <v>99062</v>
      </c>
      <c r="I64" s="210">
        <f>IFERROR(H64/G64-1,"-")</f>
        <v>-0.32164647716611994</v>
      </c>
      <c r="J64" s="209">
        <f>H64-G64</f>
        <v>-46971</v>
      </c>
      <c r="K64" s="210">
        <f>H64/H$8</f>
        <v>3.1995405880627825E-2</v>
      </c>
      <c r="L64" s="103"/>
    </row>
    <row r="65" spans="1:12" x14ac:dyDescent="0.25">
      <c r="A65" s="193" t="s">
        <v>98</v>
      </c>
      <c r="B65" s="190" t="s">
        <v>99</v>
      </c>
      <c r="C65" s="191">
        <v>9120</v>
      </c>
      <c r="D65" s="191">
        <v>14757</v>
      </c>
      <c r="E65" s="191">
        <v>4935</v>
      </c>
      <c r="F65" s="191">
        <v>8019</v>
      </c>
      <c r="G65" s="191">
        <v>18094</v>
      </c>
      <c r="H65" s="191">
        <v>13595</v>
      </c>
      <c r="I65" s="192">
        <f>IFERROR(H65/G65-1,"-")</f>
        <v>-0.24864595998673589</v>
      </c>
      <c r="J65" s="191">
        <f t="shared" ref="J65:J75" si="20">H65-G65</f>
        <v>-4499</v>
      </c>
      <c r="K65" s="192">
        <f>H65/H$8</f>
        <v>4.3909626592147878E-3</v>
      </c>
      <c r="L65" s="103"/>
    </row>
    <row r="66" spans="1:12" x14ac:dyDescent="0.25">
      <c r="A66" s="193" t="s">
        <v>105</v>
      </c>
      <c r="B66" s="194" t="s">
        <v>105</v>
      </c>
      <c r="C66" s="195">
        <v>1918</v>
      </c>
      <c r="D66" s="195">
        <v>10508</v>
      </c>
      <c r="E66" s="195">
        <v>884</v>
      </c>
      <c r="F66" s="195">
        <v>252</v>
      </c>
      <c r="G66" s="195">
        <v>8114</v>
      </c>
      <c r="H66" s="195">
        <v>4058</v>
      </c>
      <c r="I66" s="196">
        <f>IFERROR(H66/G66-1,"-")</f>
        <v>-0.49987675622381067</v>
      </c>
      <c r="J66" s="195">
        <f t="shared" si="20"/>
        <v>-4056</v>
      </c>
      <c r="K66" s="196">
        <f>H66/H$8</f>
        <v>1.3106676330337337E-3</v>
      </c>
      <c r="L66" s="103"/>
    </row>
    <row r="67" spans="1:12" x14ac:dyDescent="0.25">
      <c r="A67" s="193" t="s">
        <v>102</v>
      </c>
      <c r="B67" s="194" t="s">
        <v>102</v>
      </c>
      <c r="C67" s="195">
        <v>7202</v>
      </c>
      <c r="D67" s="195">
        <v>4249</v>
      </c>
      <c r="E67" s="195">
        <v>4051</v>
      </c>
      <c r="F67" s="195">
        <v>7767</v>
      </c>
      <c r="G67" s="195">
        <v>9980</v>
      </c>
      <c r="H67" s="195">
        <v>9537</v>
      </c>
      <c r="I67" s="196">
        <f>IFERROR(H67/G67-1,"-")</f>
        <v>-4.438877755511017E-2</v>
      </c>
      <c r="J67" s="195">
        <f t="shared" si="20"/>
        <v>-443</v>
      </c>
      <c r="K67" s="196">
        <f>H67/H$8</f>
        <v>3.0802950261810541E-3</v>
      </c>
      <c r="L67" s="103"/>
    </row>
    <row r="68" spans="1:12" x14ac:dyDescent="0.25">
      <c r="A68" s="193"/>
      <c r="B68" s="190" t="s">
        <v>109</v>
      </c>
      <c r="C68" s="191">
        <v>6722</v>
      </c>
      <c r="D68" s="191">
        <v>59737</v>
      </c>
      <c r="E68" s="191">
        <v>91297</v>
      </c>
      <c r="F68" s="191">
        <v>95056</v>
      </c>
      <c r="G68" s="191">
        <v>127939</v>
      </c>
      <c r="H68" s="191">
        <v>85467</v>
      </c>
      <c r="I68" s="192">
        <f>IFERROR(H68/G68-1,"-")</f>
        <v>-0.33197070478900104</v>
      </c>
      <c r="J68" s="191">
        <f t="shared" si="20"/>
        <v>-42472</v>
      </c>
      <c r="K68" s="192">
        <f>H68/H$8</f>
        <v>2.760444322141304E-2</v>
      </c>
      <c r="L68" s="103"/>
    </row>
    <row r="69" spans="1:12" s="74" customFormat="1" x14ac:dyDescent="0.25">
      <c r="A69" s="193"/>
      <c r="B69" s="194" t="s">
        <v>112</v>
      </c>
      <c r="C69" s="195">
        <v>2369</v>
      </c>
      <c r="D69" s="195">
        <v>30110</v>
      </c>
      <c r="E69" s="195">
        <v>40031</v>
      </c>
      <c r="F69" s="195">
        <v>26963</v>
      </c>
      <c r="G69" s="195">
        <v>45010</v>
      </c>
      <c r="H69" s="195">
        <v>43299</v>
      </c>
      <c r="I69" s="196">
        <f t="shared" ref="I69:I76" si="21">IFERROR(H69/G69-1,"-")</f>
        <v>-3.801377471672962E-2</v>
      </c>
      <c r="J69" s="195">
        <f t="shared" si="20"/>
        <v>-1711</v>
      </c>
      <c r="K69" s="196">
        <f t="shared" ref="K69:K76" si="22">H69/H$8</f>
        <v>1.3984868862180295E-2</v>
      </c>
      <c r="L69" s="197"/>
    </row>
    <row r="70" spans="1:12" s="74" customFormat="1" x14ac:dyDescent="0.25">
      <c r="A70" s="193"/>
      <c r="B70" s="194" t="s">
        <v>115</v>
      </c>
      <c r="C70" s="195">
        <v>598</v>
      </c>
      <c r="D70" s="195">
        <v>6530</v>
      </c>
      <c r="E70" s="195">
        <v>3026</v>
      </c>
      <c r="F70" s="195">
        <v>6685</v>
      </c>
      <c r="G70" s="195">
        <v>8807</v>
      </c>
      <c r="H70" s="195">
        <v>7604</v>
      </c>
      <c r="I70" s="196">
        <f t="shared" si="21"/>
        <v>-0.13659588963324631</v>
      </c>
      <c r="J70" s="195">
        <f t="shared" si="20"/>
        <v>-1203</v>
      </c>
      <c r="K70" s="196">
        <f t="shared" si="22"/>
        <v>2.4559676396226E-3</v>
      </c>
      <c r="L70" s="197"/>
    </row>
    <row r="71" spans="1:12" x14ac:dyDescent="0.25">
      <c r="A71" s="193"/>
      <c r="B71" s="194" t="s">
        <v>118</v>
      </c>
      <c r="C71" s="195">
        <v>1310</v>
      </c>
      <c r="D71" s="195">
        <v>4900</v>
      </c>
      <c r="E71" s="195">
        <v>20423</v>
      </c>
      <c r="F71" s="195">
        <v>25712</v>
      </c>
      <c r="G71" s="195">
        <v>26260</v>
      </c>
      <c r="H71" s="195">
        <v>6356</v>
      </c>
      <c r="I71" s="196">
        <f t="shared" si="21"/>
        <v>-0.7579588728103579</v>
      </c>
      <c r="J71" s="195">
        <f t="shared" si="20"/>
        <v>-19904</v>
      </c>
      <c r="K71" s="196">
        <f t="shared" si="22"/>
        <v>2.052884050163236E-3</v>
      </c>
      <c r="L71" s="103"/>
    </row>
    <row r="72" spans="1:12" x14ac:dyDescent="0.25">
      <c r="A72" s="193"/>
      <c r="B72" s="194" t="s">
        <v>125</v>
      </c>
      <c r="C72" s="195">
        <v>52</v>
      </c>
      <c r="D72" s="195">
        <v>6753</v>
      </c>
      <c r="E72" s="195">
        <v>2125</v>
      </c>
      <c r="F72" s="195">
        <v>2652</v>
      </c>
      <c r="G72" s="195">
        <v>6807</v>
      </c>
      <c r="H72" s="195">
        <v>3590</v>
      </c>
      <c r="I72" s="196">
        <f t="shared" si="21"/>
        <v>-0.47260173350962242</v>
      </c>
      <c r="J72" s="195">
        <f t="shared" si="20"/>
        <v>-3217</v>
      </c>
      <c r="K72" s="196">
        <f t="shared" si="22"/>
        <v>1.1595112869864721E-3</v>
      </c>
      <c r="L72" s="103"/>
    </row>
    <row r="73" spans="1:12" x14ac:dyDescent="0.25">
      <c r="A73" s="193"/>
      <c r="B73" s="194" t="s">
        <v>121</v>
      </c>
      <c r="C73" s="195">
        <v>680</v>
      </c>
      <c r="D73" s="195">
        <v>1426</v>
      </c>
      <c r="E73" s="195">
        <v>1136</v>
      </c>
      <c r="F73" s="195">
        <v>1837</v>
      </c>
      <c r="G73" s="195">
        <v>2875</v>
      </c>
      <c r="H73" s="195">
        <v>1963</v>
      </c>
      <c r="I73" s="196">
        <f t="shared" si="21"/>
        <v>-0.31721739130434778</v>
      </c>
      <c r="J73" s="195">
        <f t="shared" si="20"/>
        <v>-912</v>
      </c>
      <c r="K73" s="196">
        <f t="shared" si="22"/>
        <v>6.3401689592045821E-4</v>
      </c>
      <c r="L73" s="103"/>
    </row>
    <row r="74" spans="1:12" x14ac:dyDescent="0.25">
      <c r="A74" s="193"/>
      <c r="B74" s="194" t="s">
        <v>130</v>
      </c>
      <c r="C74" s="195">
        <v>2</v>
      </c>
      <c r="D74" s="195">
        <v>616</v>
      </c>
      <c r="E74" s="195">
        <v>2187</v>
      </c>
      <c r="F74" s="195">
        <v>1351</v>
      </c>
      <c r="G74" s="195">
        <v>1750</v>
      </c>
      <c r="H74" s="195">
        <v>598</v>
      </c>
      <c r="I74" s="196">
        <f t="shared" si="21"/>
        <v>-0.65828571428571436</v>
      </c>
      <c r="J74" s="195">
        <f t="shared" si="20"/>
        <v>-1152</v>
      </c>
      <c r="K74" s="196">
        <f t="shared" si="22"/>
        <v>1.9314421994927865E-4</v>
      </c>
      <c r="L74" s="103"/>
    </row>
    <row r="75" spans="1:12" x14ac:dyDescent="0.25">
      <c r="A75" s="193" t="s">
        <v>146</v>
      </c>
      <c r="B75" s="194" t="s">
        <v>133</v>
      </c>
      <c r="C75" s="195">
        <v>254</v>
      </c>
      <c r="D75" s="195">
        <v>132</v>
      </c>
      <c r="E75" s="195">
        <v>292</v>
      </c>
      <c r="F75" s="195">
        <v>280</v>
      </c>
      <c r="G75" s="195">
        <v>920</v>
      </c>
      <c r="H75" s="195">
        <v>1345</v>
      </c>
      <c r="I75" s="196">
        <f t="shared" si="21"/>
        <v>0.46195652173913038</v>
      </c>
      <c r="J75" s="195">
        <f t="shared" si="20"/>
        <v>425</v>
      </c>
      <c r="K75" s="196">
        <f t="shared" si="22"/>
        <v>4.3441300306317691E-4</v>
      </c>
      <c r="L75" s="103"/>
    </row>
    <row r="76" spans="1:12" x14ac:dyDescent="0.25">
      <c r="A76" s="193" t="s">
        <v>147</v>
      </c>
      <c r="B76" s="199" t="s">
        <v>147</v>
      </c>
      <c r="C76" s="200">
        <f t="shared" ref="C76" si="23">C68-SUM(C69:C75)</f>
        <v>1457</v>
      </c>
      <c r="D76" s="200">
        <f t="shared" ref="D76:H76" si="24">D68-SUM(D69:D75)</f>
        <v>9270</v>
      </c>
      <c r="E76" s="200">
        <f t="shared" si="24"/>
        <v>22077</v>
      </c>
      <c r="F76" s="200">
        <f t="shared" si="24"/>
        <v>29576</v>
      </c>
      <c r="G76" s="200">
        <f t="shared" si="24"/>
        <v>35510</v>
      </c>
      <c r="H76" s="200">
        <f t="shared" si="24"/>
        <v>20712</v>
      </c>
      <c r="I76" s="201">
        <f t="shared" si="21"/>
        <v>-0.41672768234300195</v>
      </c>
      <c r="J76" s="200">
        <f>H76-G76</f>
        <v>-14798</v>
      </c>
      <c r="K76" s="201">
        <f t="shared" si="22"/>
        <v>6.6896372635275236E-3</v>
      </c>
      <c r="L76" s="103"/>
    </row>
    <row r="77" spans="1:12" s="177" customFormat="1" x14ac:dyDescent="0.25">
      <c r="A77" s="193"/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</row>
    <row r="78" spans="1:12" x14ac:dyDescent="0.25">
      <c r="A78" s="193"/>
      <c r="B78" s="187" t="s">
        <v>70</v>
      </c>
      <c r="C78" s="209">
        <v>56100</v>
      </c>
      <c r="D78" s="209">
        <v>287185</v>
      </c>
      <c r="E78" s="209">
        <v>375972</v>
      </c>
      <c r="F78" s="209">
        <v>428972</v>
      </c>
      <c r="G78" s="209">
        <v>490987</v>
      </c>
      <c r="H78" s="209">
        <v>476664</v>
      </c>
      <c r="I78" s="210">
        <f>IFERROR(H78/G78-1,"-")</f>
        <v>-2.9171851800556814E-2</v>
      </c>
      <c r="J78" s="209">
        <f>H78-G78</f>
        <v>-14323</v>
      </c>
      <c r="K78" s="210">
        <f>H78/H$8</f>
        <v>0.15395467635100829</v>
      </c>
      <c r="L78" s="103"/>
    </row>
    <row r="79" spans="1:12" x14ac:dyDescent="0.25">
      <c r="A79" s="193" t="s">
        <v>98</v>
      </c>
      <c r="B79" s="190" t="s">
        <v>99</v>
      </c>
      <c r="C79" s="191">
        <v>36133</v>
      </c>
      <c r="D79" s="191">
        <v>96677</v>
      </c>
      <c r="E79" s="191">
        <v>140180</v>
      </c>
      <c r="F79" s="191">
        <v>118073</v>
      </c>
      <c r="G79" s="191">
        <v>131586</v>
      </c>
      <c r="H79" s="191">
        <v>128510</v>
      </c>
      <c r="I79" s="192">
        <f>IFERROR(H79/G79-1,"-")</f>
        <v>-2.3376347027799338E-2</v>
      </c>
      <c r="J79" s="191">
        <f t="shared" ref="J79:J89" si="25">H79-G79</f>
        <v>-3076</v>
      </c>
      <c r="K79" s="192">
        <f>H79/H$8</f>
        <v>4.1506628270370903E-2</v>
      </c>
      <c r="L79" s="103"/>
    </row>
    <row r="80" spans="1:12" x14ac:dyDescent="0.25">
      <c r="A80" s="193" t="s">
        <v>105</v>
      </c>
      <c r="B80" s="194" t="s">
        <v>105</v>
      </c>
      <c r="C80" s="195">
        <v>9687</v>
      </c>
      <c r="D80" s="195">
        <v>24876</v>
      </c>
      <c r="E80" s="195">
        <v>26328</v>
      </c>
      <c r="F80" s="195">
        <v>14887</v>
      </c>
      <c r="G80" s="195">
        <v>21702</v>
      </c>
      <c r="H80" s="195">
        <v>20327</v>
      </c>
      <c r="I80" s="196">
        <f>IFERROR(H80/G80-1,"-")</f>
        <v>-6.3358215832642117E-2</v>
      </c>
      <c r="J80" s="195">
        <f t="shared" si="25"/>
        <v>-1375</v>
      </c>
      <c r="K80" s="196">
        <f>H80/H$8</f>
        <v>6.5652885600484736E-3</v>
      </c>
      <c r="L80" s="103"/>
    </row>
    <row r="81" spans="1:12" x14ac:dyDescent="0.25">
      <c r="A81" s="193" t="s">
        <v>102</v>
      </c>
      <c r="B81" s="194" t="s">
        <v>102</v>
      </c>
      <c r="C81" s="195">
        <v>26446</v>
      </c>
      <c r="D81" s="195">
        <v>71801</v>
      </c>
      <c r="E81" s="195">
        <v>113852</v>
      </c>
      <c r="F81" s="195">
        <v>103186</v>
      </c>
      <c r="G81" s="195">
        <v>109884</v>
      </c>
      <c r="H81" s="195">
        <v>108183</v>
      </c>
      <c r="I81" s="196">
        <f>IFERROR(H81/G81-1,"-")</f>
        <v>-1.5479960685814143E-2</v>
      </c>
      <c r="J81" s="195">
        <f t="shared" si="25"/>
        <v>-1701</v>
      </c>
      <c r="K81" s="196">
        <f>H81/H$8</f>
        <v>3.4941339710322428E-2</v>
      </c>
      <c r="L81" s="103"/>
    </row>
    <row r="82" spans="1:12" x14ac:dyDescent="0.25">
      <c r="A82" s="193"/>
      <c r="B82" s="190" t="s">
        <v>109</v>
      </c>
      <c r="C82" s="191">
        <v>19967</v>
      </c>
      <c r="D82" s="191">
        <v>190508</v>
      </c>
      <c r="E82" s="191">
        <v>235792</v>
      </c>
      <c r="F82" s="191">
        <v>310899</v>
      </c>
      <c r="G82" s="191">
        <v>359401</v>
      </c>
      <c r="H82" s="191">
        <v>348154</v>
      </c>
      <c r="I82" s="192">
        <f>IFERROR(H82/G82-1,"-")</f>
        <v>-3.129373596623275E-2</v>
      </c>
      <c r="J82" s="191">
        <f t="shared" si="25"/>
        <v>-11247</v>
      </c>
      <c r="K82" s="192">
        <f>H82/H$8</f>
        <v>0.11244804808063739</v>
      </c>
      <c r="L82" s="103"/>
    </row>
    <row r="83" spans="1:12" s="74" customFormat="1" x14ac:dyDescent="0.25">
      <c r="A83" s="193"/>
      <c r="B83" s="194" t="s">
        <v>112</v>
      </c>
      <c r="C83" s="195">
        <v>3047</v>
      </c>
      <c r="D83" s="195">
        <v>27428</v>
      </c>
      <c r="E83" s="195">
        <v>48171</v>
      </c>
      <c r="F83" s="195">
        <v>66201</v>
      </c>
      <c r="G83" s="195">
        <v>74256</v>
      </c>
      <c r="H83" s="195">
        <v>80610</v>
      </c>
      <c r="I83" s="196">
        <f t="shared" ref="I83:I90" si="26">IFERROR(H83/G83-1,"-")</f>
        <v>8.5568842921784016E-2</v>
      </c>
      <c r="J83" s="195">
        <f t="shared" si="25"/>
        <v>6354</v>
      </c>
      <c r="K83" s="196">
        <f t="shared" ref="K83:K90" si="27">H83/H$8</f>
        <v>2.6035711655704601E-2</v>
      </c>
      <c r="L83" s="197"/>
    </row>
    <row r="84" spans="1:12" s="74" customFormat="1" x14ac:dyDescent="0.25">
      <c r="A84" s="193"/>
      <c r="B84" s="194" t="s">
        <v>115</v>
      </c>
      <c r="C84" s="195">
        <v>2230</v>
      </c>
      <c r="D84" s="195">
        <v>79348</v>
      </c>
      <c r="E84" s="195">
        <v>81267</v>
      </c>
      <c r="F84" s="195">
        <v>95060</v>
      </c>
      <c r="G84" s="195">
        <v>109949</v>
      </c>
      <c r="H84" s="195">
        <v>95382</v>
      </c>
      <c r="I84" s="196">
        <f t="shared" si="26"/>
        <v>-0.1324886993060419</v>
      </c>
      <c r="J84" s="195">
        <f t="shared" si="25"/>
        <v>-14567</v>
      </c>
      <c r="K84" s="196">
        <f t="shared" si="27"/>
        <v>3.0806826065555345E-2</v>
      </c>
      <c r="L84" s="197"/>
    </row>
    <row r="85" spans="1:12" x14ac:dyDescent="0.25">
      <c r="A85" s="193"/>
      <c r="B85" s="194" t="s">
        <v>118</v>
      </c>
      <c r="C85" s="195">
        <v>4177</v>
      </c>
      <c r="D85" s="195">
        <v>14829</v>
      </c>
      <c r="E85" s="195">
        <v>15893</v>
      </c>
      <c r="F85" s="195">
        <v>29606</v>
      </c>
      <c r="G85" s="195">
        <v>36840</v>
      </c>
      <c r="H85" s="195">
        <v>37397</v>
      </c>
      <c r="I85" s="196">
        <f t="shared" si="26"/>
        <v>1.5119435396308445E-2</v>
      </c>
      <c r="J85" s="195">
        <f t="shared" si="25"/>
        <v>557</v>
      </c>
      <c r="K85" s="196">
        <f t="shared" si="27"/>
        <v>1.2078619387028719E-2</v>
      </c>
      <c r="L85" s="103"/>
    </row>
    <row r="86" spans="1:12" x14ac:dyDescent="0.25">
      <c r="A86" s="193"/>
      <c r="B86" s="194" t="s">
        <v>125</v>
      </c>
      <c r="C86" s="195">
        <v>218</v>
      </c>
      <c r="D86" s="195">
        <v>7377</v>
      </c>
      <c r="E86" s="195">
        <v>6492</v>
      </c>
      <c r="F86" s="195">
        <v>9266</v>
      </c>
      <c r="G86" s="195">
        <v>14761</v>
      </c>
      <c r="H86" s="195">
        <v>11784</v>
      </c>
      <c r="I86" s="196">
        <f t="shared" si="26"/>
        <v>-0.20168010297405325</v>
      </c>
      <c r="J86" s="195">
        <f t="shared" si="25"/>
        <v>-2977</v>
      </c>
      <c r="K86" s="196">
        <f t="shared" si="27"/>
        <v>3.80603927739515E-3</v>
      </c>
      <c r="L86" s="103"/>
    </row>
    <row r="87" spans="1:12" x14ac:dyDescent="0.25">
      <c r="A87" s="193"/>
      <c r="B87" s="194" t="s">
        <v>121</v>
      </c>
      <c r="C87" s="195">
        <v>1379</v>
      </c>
      <c r="D87" s="195">
        <v>5242</v>
      </c>
      <c r="E87" s="195">
        <v>2154</v>
      </c>
      <c r="F87" s="195">
        <v>4047</v>
      </c>
      <c r="G87" s="195">
        <v>5700</v>
      </c>
      <c r="H87" s="195">
        <v>7586</v>
      </c>
      <c r="I87" s="196">
        <f t="shared" si="26"/>
        <v>0.3308771929824561</v>
      </c>
      <c r="J87" s="195">
        <f t="shared" si="25"/>
        <v>1886</v>
      </c>
      <c r="K87" s="196">
        <f t="shared" si="27"/>
        <v>2.4501539340053978E-3</v>
      </c>
      <c r="L87" s="103"/>
    </row>
    <row r="88" spans="1:12" x14ac:dyDescent="0.25">
      <c r="A88" s="193"/>
      <c r="B88" s="194" t="s">
        <v>130</v>
      </c>
      <c r="C88" s="195">
        <v>13</v>
      </c>
      <c r="D88" s="195">
        <v>3040</v>
      </c>
      <c r="E88" s="195">
        <v>6332</v>
      </c>
      <c r="F88" s="195">
        <v>4290</v>
      </c>
      <c r="G88" s="195">
        <v>4680</v>
      </c>
      <c r="H88" s="195">
        <v>4718</v>
      </c>
      <c r="I88" s="196">
        <f t="shared" si="26"/>
        <v>8.1196581196580908E-3</v>
      </c>
      <c r="J88" s="195">
        <f t="shared" si="25"/>
        <v>38</v>
      </c>
      <c r="K88" s="196">
        <f t="shared" si="27"/>
        <v>1.5238368389978204E-3</v>
      </c>
      <c r="L88" s="103"/>
    </row>
    <row r="89" spans="1:12" x14ac:dyDescent="0.25">
      <c r="A89" s="193" t="s">
        <v>146</v>
      </c>
      <c r="B89" s="194" t="s">
        <v>133</v>
      </c>
      <c r="C89" s="195">
        <v>240</v>
      </c>
      <c r="D89" s="195">
        <v>1830</v>
      </c>
      <c r="E89" s="195">
        <v>5750</v>
      </c>
      <c r="F89" s="195">
        <v>5312</v>
      </c>
      <c r="G89" s="195">
        <v>3688</v>
      </c>
      <c r="H89" s="195">
        <v>3428</v>
      </c>
      <c r="I89" s="196">
        <f t="shared" si="26"/>
        <v>-7.0498915401301487E-2</v>
      </c>
      <c r="J89" s="195">
        <f t="shared" si="25"/>
        <v>-260</v>
      </c>
      <c r="K89" s="196">
        <f t="shared" si="27"/>
        <v>1.1071879364316509E-3</v>
      </c>
      <c r="L89" s="103"/>
    </row>
    <row r="90" spans="1:12" x14ac:dyDescent="0.25">
      <c r="A90" s="193" t="s">
        <v>147</v>
      </c>
      <c r="B90" s="199" t="s">
        <v>147</v>
      </c>
      <c r="C90" s="200">
        <f t="shared" ref="C90" si="28">C82-SUM(C83:C89)</f>
        <v>8663</v>
      </c>
      <c r="D90" s="200">
        <f t="shared" ref="D90:H90" si="29">D82-SUM(D83:D89)</f>
        <v>51414</v>
      </c>
      <c r="E90" s="200">
        <f t="shared" si="29"/>
        <v>69733</v>
      </c>
      <c r="F90" s="200">
        <f t="shared" si="29"/>
        <v>97117</v>
      </c>
      <c r="G90" s="200">
        <f t="shared" si="29"/>
        <v>109527</v>
      </c>
      <c r="H90" s="200">
        <f t="shared" si="29"/>
        <v>107249</v>
      </c>
      <c r="I90" s="201">
        <f t="shared" si="26"/>
        <v>-2.0798524564719201E-2</v>
      </c>
      <c r="J90" s="200">
        <f>H90-G90</f>
        <v>-2278</v>
      </c>
      <c r="K90" s="201">
        <f t="shared" si="27"/>
        <v>3.4639672985518705E-2</v>
      </c>
      <c r="L90" s="103"/>
    </row>
    <row r="91" spans="1:12" s="177" customFormat="1" x14ac:dyDescent="0.25">
      <c r="A91" s="193"/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</row>
    <row r="92" spans="1:12" x14ac:dyDescent="0.25">
      <c r="A92" s="193"/>
      <c r="B92" s="187" t="s">
        <v>70</v>
      </c>
      <c r="C92" s="209">
        <v>3603</v>
      </c>
      <c r="D92" s="209">
        <v>10119</v>
      </c>
      <c r="E92" s="209">
        <v>11595</v>
      </c>
      <c r="F92" s="209">
        <v>11107</v>
      </c>
      <c r="G92" s="209">
        <v>12187</v>
      </c>
      <c r="H92" s="209">
        <v>14433</v>
      </c>
      <c r="I92" s="210">
        <f>IFERROR(H92/G92-1,"-")</f>
        <v>0.18429474029703785</v>
      </c>
      <c r="J92" s="209">
        <f>H92-G92</f>
        <v>2246</v>
      </c>
      <c r="K92" s="210">
        <f>H92/H$8</f>
        <v>4.6616229540600981E-3</v>
      </c>
      <c r="L92" s="103"/>
    </row>
    <row r="93" spans="1:12" x14ac:dyDescent="0.25">
      <c r="A93" s="193" t="s">
        <v>98</v>
      </c>
      <c r="B93" s="190" t="s">
        <v>99</v>
      </c>
      <c r="C93" s="191">
        <v>2778</v>
      </c>
      <c r="D93" s="191">
        <v>3923</v>
      </c>
      <c r="E93" s="191">
        <v>5470</v>
      </c>
      <c r="F93" s="191">
        <v>5517</v>
      </c>
      <c r="G93" s="191">
        <v>5734</v>
      </c>
      <c r="H93" s="191">
        <v>7715</v>
      </c>
      <c r="I93" s="192">
        <f>IFERROR(H93/G93-1,"-")</f>
        <v>0.34548308336239963</v>
      </c>
      <c r="J93" s="191">
        <f t="shared" ref="J93:J103" si="30">H93-G93</f>
        <v>1981</v>
      </c>
      <c r="K93" s="192">
        <f>H93/H$8</f>
        <v>2.4918188242620148E-3</v>
      </c>
      <c r="L93" s="103"/>
    </row>
    <row r="94" spans="1:12" x14ac:dyDescent="0.25">
      <c r="A94" s="193" t="s">
        <v>105</v>
      </c>
      <c r="B94" s="194" t="s">
        <v>105</v>
      </c>
      <c r="C94" s="195">
        <v>874</v>
      </c>
      <c r="D94" s="195">
        <v>2179</v>
      </c>
      <c r="E94" s="195">
        <v>1877</v>
      </c>
      <c r="F94" s="195">
        <v>1047</v>
      </c>
      <c r="G94" s="195">
        <v>1307</v>
      </c>
      <c r="H94" s="195">
        <v>2970</v>
      </c>
      <c r="I94" s="196">
        <f>IFERROR(H94/G94-1,"-")</f>
        <v>1.2723794950267791</v>
      </c>
      <c r="J94" s="195">
        <f t="shared" si="30"/>
        <v>1663</v>
      </c>
      <c r="K94" s="196">
        <f>H94/H$8</f>
        <v>9.5926142683839058E-4</v>
      </c>
      <c r="L94" s="103"/>
    </row>
    <row r="95" spans="1:12" x14ac:dyDescent="0.25">
      <c r="A95" s="193" t="s">
        <v>102</v>
      </c>
      <c r="B95" s="194" t="s">
        <v>102</v>
      </c>
      <c r="C95" s="195">
        <v>1904</v>
      </c>
      <c r="D95" s="195">
        <v>1744</v>
      </c>
      <c r="E95" s="195">
        <v>3593</v>
      </c>
      <c r="F95" s="195">
        <v>4470</v>
      </c>
      <c r="G95" s="195">
        <v>4427</v>
      </c>
      <c r="H95" s="195">
        <v>4745</v>
      </c>
      <c r="I95" s="196">
        <f>IFERROR(H95/G95-1,"-")</f>
        <v>7.1831940365936209E-2</v>
      </c>
      <c r="J95" s="195">
        <f t="shared" si="30"/>
        <v>318</v>
      </c>
      <c r="K95" s="196">
        <f>H95/H$8</f>
        <v>1.5325573974236241E-3</v>
      </c>
      <c r="L95" s="103"/>
    </row>
    <row r="96" spans="1:12" x14ac:dyDescent="0.25">
      <c r="A96" s="193"/>
      <c r="B96" s="190" t="s">
        <v>109</v>
      </c>
      <c r="C96" s="191">
        <v>825</v>
      </c>
      <c r="D96" s="191">
        <v>6196</v>
      </c>
      <c r="E96" s="191">
        <v>6125</v>
      </c>
      <c r="F96" s="191">
        <v>5590</v>
      </c>
      <c r="G96" s="191">
        <v>6453</v>
      </c>
      <c r="H96" s="191">
        <v>6718</v>
      </c>
      <c r="I96" s="192">
        <f>IFERROR(H96/G96-1,"-")</f>
        <v>4.1066170773283783E-2</v>
      </c>
      <c r="J96" s="191">
        <f t="shared" si="30"/>
        <v>265</v>
      </c>
      <c r="K96" s="192">
        <f>H96/H$8</f>
        <v>2.1698041297980837E-3</v>
      </c>
      <c r="L96" s="103"/>
    </row>
    <row r="97" spans="1:12" s="74" customFormat="1" x14ac:dyDescent="0.25">
      <c r="A97" s="193"/>
      <c r="B97" s="194" t="s">
        <v>112</v>
      </c>
      <c r="C97" s="195">
        <v>90</v>
      </c>
      <c r="D97" s="195">
        <v>757</v>
      </c>
      <c r="E97" s="195">
        <v>676</v>
      </c>
      <c r="F97" s="195">
        <v>658</v>
      </c>
      <c r="G97" s="195">
        <v>850</v>
      </c>
      <c r="H97" s="195">
        <v>773</v>
      </c>
      <c r="I97" s="196">
        <f t="shared" ref="I97:I104" si="31">IFERROR(H97/G97-1,"-")</f>
        <v>-9.0588235294117636E-2</v>
      </c>
      <c r="J97" s="195">
        <f t="shared" si="30"/>
        <v>-77</v>
      </c>
      <c r="K97" s="196">
        <f t="shared" ref="K97:K104" si="32">H97/H$8</f>
        <v>2.4966635789430166E-4</v>
      </c>
      <c r="L97" s="197"/>
    </row>
    <row r="98" spans="1:12" s="74" customFormat="1" x14ac:dyDescent="0.25">
      <c r="A98" s="193"/>
      <c r="B98" s="194" t="s">
        <v>115</v>
      </c>
      <c r="C98" s="195">
        <v>122</v>
      </c>
      <c r="D98" s="195">
        <v>3442</v>
      </c>
      <c r="E98" s="195">
        <v>2114</v>
      </c>
      <c r="F98" s="195">
        <v>1758</v>
      </c>
      <c r="G98" s="195">
        <v>1824</v>
      </c>
      <c r="H98" s="195">
        <v>1932</v>
      </c>
      <c r="I98" s="196">
        <f t="shared" si="31"/>
        <v>5.921052631578938E-2</v>
      </c>
      <c r="J98" s="195">
        <f t="shared" si="30"/>
        <v>108</v>
      </c>
      <c r="K98" s="196">
        <f t="shared" si="32"/>
        <v>6.240044029130541E-4</v>
      </c>
      <c r="L98" s="197"/>
    </row>
    <row r="99" spans="1:12" x14ac:dyDescent="0.25">
      <c r="A99" s="193"/>
      <c r="B99" s="194" t="s">
        <v>118</v>
      </c>
      <c r="C99" s="195">
        <v>266</v>
      </c>
      <c r="D99" s="195">
        <v>399</v>
      </c>
      <c r="E99" s="195">
        <v>484</v>
      </c>
      <c r="F99" s="195">
        <v>565</v>
      </c>
      <c r="G99" s="195">
        <v>622</v>
      </c>
      <c r="H99" s="195">
        <v>699</v>
      </c>
      <c r="I99" s="196">
        <f t="shared" si="31"/>
        <v>0.1237942122186495</v>
      </c>
      <c r="J99" s="195">
        <f t="shared" si="30"/>
        <v>77</v>
      </c>
      <c r="K99" s="196">
        <f t="shared" si="32"/>
        <v>2.2576556813469194E-4</v>
      </c>
      <c r="L99" s="103"/>
    </row>
    <row r="100" spans="1:12" x14ac:dyDescent="0.25">
      <c r="A100" s="193"/>
      <c r="B100" s="194" t="s">
        <v>125</v>
      </c>
      <c r="C100" s="195">
        <v>5</v>
      </c>
      <c r="D100" s="195">
        <v>136</v>
      </c>
      <c r="E100" s="195">
        <v>458</v>
      </c>
      <c r="F100" s="195">
        <v>266</v>
      </c>
      <c r="G100" s="195">
        <v>155</v>
      </c>
      <c r="H100" s="195">
        <v>181</v>
      </c>
      <c r="I100" s="196">
        <f t="shared" si="31"/>
        <v>0.16774193548387095</v>
      </c>
      <c r="J100" s="195">
        <f t="shared" si="30"/>
        <v>26</v>
      </c>
      <c r="K100" s="196">
        <f t="shared" si="32"/>
        <v>5.8460039817423805E-5</v>
      </c>
      <c r="L100" s="103"/>
    </row>
    <row r="101" spans="1:12" x14ac:dyDescent="0.25">
      <c r="A101" s="193"/>
      <c r="B101" s="194" t="s">
        <v>121</v>
      </c>
      <c r="C101" s="195">
        <v>74</v>
      </c>
      <c r="D101" s="195">
        <v>171</v>
      </c>
      <c r="E101" s="195">
        <v>83</v>
      </c>
      <c r="F101" s="195">
        <v>116</v>
      </c>
      <c r="G101" s="195">
        <v>156</v>
      </c>
      <c r="H101" s="195">
        <v>211</v>
      </c>
      <c r="I101" s="196">
        <f t="shared" si="31"/>
        <v>0.35256410256410264</v>
      </c>
      <c r="J101" s="195">
        <f t="shared" si="30"/>
        <v>55</v>
      </c>
      <c r="K101" s="196">
        <f t="shared" si="32"/>
        <v>6.8149549179427751E-5</v>
      </c>
      <c r="L101" s="103"/>
    </row>
    <row r="102" spans="1:12" x14ac:dyDescent="0.25">
      <c r="A102" s="193"/>
      <c r="B102" s="194" t="s">
        <v>130</v>
      </c>
      <c r="C102" s="195">
        <v>0</v>
      </c>
      <c r="D102" s="195">
        <v>100</v>
      </c>
      <c r="E102" s="195">
        <v>46</v>
      </c>
      <c r="F102" s="195">
        <v>6</v>
      </c>
      <c r="G102" s="195">
        <v>24</v>
      </c>
      <c r="H102" s="195">
        <v>22</v>
      </c>
      <c r="I102" s="196">
        <f t="shared" si="31"/>
        <v>-8.333333333333337E-2</v>
      </c>
      <c r="J102" s="195">
        <f t="shared" si="30"/>
        <v>-2</v>
      </c>
      <c r="K102" s="196">
        <f t="shared" si="32"/>
        <v>7.1056401988028938E-6</v>
      </c>
      <c r="L102" s="103"/>
    </row>
    <row r="103" spans="1:12" x14ac:dyDescent="0.25">
      <c r="A103" s="193" t="s">
        <v>146</v>
      </c>
      <c r="B103" s="194" t="s">
        <v>133</v>
      </c>
      <c r="C103" s="195">
        <v>6</v>
      </c>
      <c r="D103" s="195">
        <v>7</v>
      </c>
      <c r="E103" s="195">
        <v>20</v>
      </c>
      <c r="F103" s="195">
        <v>26</v>
      </c>
      <c r="G103" s="195">
        <v>122</v>
      </c>
      <c r="H103" s="195">
        <v>69</v>
      </c>
      <c r="I103" s="196">
        <f t="shared" si="31"/>
        <v>-0.43442622950819676</v>
      </c>
      <c r="J103" s="195">
        <f t="shared" si="30"/>
        <v>-53</v>
      </c>
      <c r="K103" s="196">
        <f t="shared" si="32"/>
        <v>2.2285871532609076E-5</v>
      </c>
      <c r="L103" s="103"/>
    </row>
    <row r="104" spans="1:12" x14ac:dyDescent="0.25">
      <c r="A104" s="193" t="s">
        <v>147</v>
      </c>
      <c r="B104" s="199" t="s">
        <v>147</v>
      </c>
      <c r="C104" s="200">
        <f t="shared" ref="C104" si="33">C96-SUM(C97:C103)</f>
        <v>262</v>
      </c>
      <c r="D104" s="200">
        <f t="shared" ref="D104:H104" si="34">D96-SUM(D97:D103)</f>
        <v>1184</v>
      </c>
      <c r="E104" s="200">
        <f t="shared" si="34"/>
        <v>2244</v>
      </c>
      <c r="F104" s="200">
        <f t="shared" si="34"/>
        <v>2195</v>
      </c>
      <c r="G104" s="200">
        <f t="shared" si="34"/>
        <v>2700</v>
      </c>
      <c r="H104" s="200">
        <f t="shared" si="34"/>
        <v>2831</v>
      </c>
      <c r="I104" s="201">
        <f t="shared" si="31"/>
        <v>4.8518518518518627E-2</v>
      </c>
      <c r="J104" s="200">
        <f>H104-G104</f>
        <v>131</v>
      </c>
      <c r="K104" s="201">
        <f t="shared" si="32"/>
        <v>9.1436670012777228E-4</v>
      </c>
      <c r="L104" s="103"/>
    </row>
    <row r="105" spans="1:12" s="177" customFormat="1" x14ac:dyDescent="0.25">
      <c r="A105" s="193"/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</row>
    <row r="106" spans="1:12" x14ac:dyDescent="0.25">
      <c r="A106" s="193"/>
      <c r="B106" s="187" t="s">
        <v>70</v>
      </c>
      <c r="C106" s="209">
        <v>20597</v>
      </c>
      <c r="D106" s="209">
        <v>105169</v>
      </c>
      <c r="E106" s="209">
        <v>132612</v>
      </c>
      <c r="F106" s="209">
        <v>146405</v>
      </c>
      <c r="G106" s="209">
        <v>126079</v>
      </c>
      <c r="H106" s="209">
        <v>119104</v>
      </c>
      <c r="I106" s="210">
        <f>IFERROR(H106/G106-1,"-")</f>
        <v>-5.5322456555017108E-2</v>
      </c>
      <c r="J106" s="209">
        <f>H106-G106</f>
        <v>-6975</v>
      </c>
      <c r="K106" s="210">
        <f>H106/H$8</f>
        <v>3.8468644101737268E-2</v>
      </c>
      <c r="L106" s="103"/>
    </row>
    <row r="107" spans="1:12" x14ac:dyDescent="0.25">
      <c r="A107" s="193" t="s">
        <v>98</v>
      </c>
      <c r="B107" s="190" t="s">
        <v>99</v>
      </c>
      <c r="C107" s="191">
        <v>9240</v>
      </c>
      <c r="D107" s="191">
        <v>18650</v>
      </c>
      <c r="E107" s="191">
        <v>24745</v>
      </c>
      <c r="F107" s="191">
        <v>21110</v>
      </c>
      <c r="G107" s="191">
        <v>14338</v>
      </c>
      <c r="H107" s="191">
        <v>15693</v>
      </c>
      <c r="I107" s="192">
        <f>IFERROR(H107/G107-1,"-")</f>
        <v>9.4504114939321981E-2</v>
      </c>
      <c r="J107" s="191">
        <f t="shared" ref="J107:J117" si="35">H107-G107</f>
        <v>1355</v>
      </c>
      <c r="K107" s="192">
        <f>H107/H$8</f>
        <v>5.0685823472642636E-3</v>
      </c>
      <c r="L107" s="103"/>
    </row>
    <row r="108" spans="1:12" x14ac:dyDescent="0.25">
      <c r="A108" s="193" t="s">
        <v>105</v>
      </c>
      <c r="B108" s="194" t="s">
        <v>105</v>
      </c>
      <c r="C108" s="195">
        <v>3105</v>
      </c>
      <c r="D108" s="195">
        <v>10252</v>
      </c>
      <c r="E108" s="195">
        <v>10882</v>
      </c>
      <c r="F108" s="195">
        <v>4073</v>
      </c>
      <c r="G108" s="195">
        <v>4574</v>
      </c>
      <c r="H108" s="195">
        <v>6256</v>
      </c>
      <c r="I108" s="196">
        <f>IFERROR(H108/G108-1,"-")</f>
        <v>0.36773065150852635</v>
      </c>
      <c r="J108" s="195">
        <f t="shared" si="35"/>
        <v>1682</v>
      </c>
      <c r="K108" s="196">
        <f>H108/H$8</f>
        <v>2.0205856856232228E-3</v>
      </c>
      <c r="L108" s="103"/>
    </row>
    <row r="109" spans="1:12" x14ac:dyDescent="0.25">
      <c r="A109" s="193" t="s">
        <v>102</v>
      </c>
      <c r="B109" s="194" t="s">
        <v>102</v>
      </c>
      <c r="C109" s="195">
        <v>6135</v>
      </c>
      <c r="D109" s="195">
        <v>8398</v>
      </c>
      <c r="E109" s="195">
        <v>13863</v>
      </c>
      <c r="F109" s="195">
        <v>17037</v>
      </c>
      <c r="G109" s="195">
        <v>9764</v>
      </c>
      <c r="H109" s="195">
        <v>9437</v>
      </c>
      <c r="I109" s="196">
        <f>IFERROR(H109/G109-1,"-")</f>
        <v>-3.3490372798033574E-2</v>
      </c>
      <c r="J109" s="195">
        <f t="shared" si="35"/>
        <v>-327</v>
      </c>
      <c r="K109" s="196">
        <f>H109/H$8</f>
        <v>3.0479966616410413E-3</v>
      </c>
      <c r="L109" s="103"/>
    </row>
    <row r="110" spans="1:12" x14ac:dyDescent="0.25">
      <c r="A110" s="193"/>
      <c r="B110" s="190" t="s">
        <v>109</v>
      </c>
      <c r="C110" s="191">
        <v>11357</v>
      </c>
      <c r="D110" s="191">
        <v>86519</v>
      </c>
      <c r="E110" s="191">
        <v>107867</v>
      </c>
      <c r="F110" s="191">
        <v>125295</v>
      </c>
      <c r="G110" s="191">
        <v>111741</v>
      </c>
      <c r="H110" s="191">
        <v>103411</v>
      </c>
      <c r="I110" s="192">
        <f>IFERROR(H110/G110-1,"-")</f>
        <v>-7.454739084132056E-2</v>
      </c>
      <c r="J110" s="191">
        <f t="shared" si="35"/>
        <v>-8330</v>
      </c>
      <c r="K110" s="192">
        <f>H110/H$8</f>
        <v>3.3400061754473E-2</v>
      </c>
      <c r="L110" s="103"/>
    </row>
    <row r="111" spans="1:12" s="74" customFormat="1" x14ac:dyDescent="0.25">
      <c r="A111" s="193"/>
      <c r="B111" s="194" t="s">
        <v>112</v>
      </c>
      <c r="C111" s="195">
        <v>5886</v>
      </c>
      <c r="D111" s="195">
        <v>54281</v>
      </c>
      <c r="E111" s="195">
        <v>68927</v>
      </c>
      <c r="F111" s="195">
        <v>90194</v>
      </c>
      <c r="G111" s="195">
        <v>68520</v>
      </c>
      <c r="H111" s="195">
        <v>63890</v>
      </c>
      <c r="I111" s="196">
        <f t="shared" ref="I111:I118" si="36">IFERROR(H111/G111-1,"-")</f>
        <v>-6.7571511967308817E-2</v>
      </c>
      <c r="J111" s="195">
        <f t="shared" si="35"/>
        <v>-4630</v>
      </c>
      <c r="K111" s="196">
        <f t="shared" ref="K111:K118" si="37">H111/H$8</f>
        <v>2.0635425104614403E-2</v>
      </c>
      <c r="L111" s="197"/>
    </row>
    <row r="112" spans="1:12" s="74" customFormat="1" x14ac:dyDescent="0.25">
      <c r="A112" s="193"/>
      <c r="B112" s="194" t="s">
        <v>115</v>
      </c>
      <c r="C112" s="195">
        <v>442</v>
      </c>
      <c r="D112" s="195">
        <v>4720</v>
      </c>
      <c r="E112" s="195">
        <v>3075</v>
      </c>
      <c r="F112" s="195">
        <v>4324</v>
      </c>
      <c r="G112" s="195">
        <v>5830</v>
      </c>
      <c r="H112" s="195">
        <v>5338</v>
      </c>
      <c r="I112" s="196">
        <f t="shared" si="36"/>
        <v>-8.4391080617495673E-2</v>
      </c>
      <c r="J112" s="195">
        <f t="shared" si="35"/>
        <v>-492</v>
      </c>
      <c r="K112" s="196">
        <f t="shared" si="37"/>
        <v>1.7240866991459021E-3</v>
      </c>
      <c r="L112" s="197"/>
    </row>
    <row r="113" spans="1:12" x14ac:dyDescent="0.25">
      <c r="A113" s="193"/>
      <c r="B113" s="194" t="s">
        <v>118</v>
      </c>
      <c r="C113" s="195">
        <v>2076</v>
      </c>
      <c r="D113" s="195">
        <v>5600</v>
      </c>
      <c r="E113" s="195">
        <v>6802</v>
      </c>
      <c r="F113" s="195">
        <v>4406</v>
      </c>
      <c r="G113" s="195">
        <v>10904</v>
      </c>
      <c r="H113" s="195">
        <v>8865</v>
      </c>
      <c r="I113" s="196">
        <f t="shared" si="36"/>
        <v>-0.18699559794570797</v>
      </c>
      <c r="J113" s="195">
        <f t="shared" si="35"/>
        <v>-2039</v>
      </c>
      <c r="K113" s="196">
        <f t="shared" si="37"/>
        <v>2.863250016472166E-3</v>
      </c>
      <c r="L113" s="103"/>
    </row>
    <row r="114" spans="1:12" x14ac:dyDescent="0.25">
      <c r="A114" s="193"/>
      <c r="B114" s="194" t="s">
        <v>125</v>
      </c>
      <c r="C114" s="195">
        <v>230</v>
      </c>
      <c r="D114" s="195">
        <v>5117</v>
      </c>
      <c r="E114" s="195">
        <v>3070</v>
      </c>
      <c r="F114" s="195">
        <v>6655</v>
      </c>
      <c r="G114" s="195">
        <v>4208</v>
      </c>
      <c r="H114" s="195">
        <v>4076</v>
      </c>
      <c r="I114" s="196">
        <f t="shared" si="36"/>
        <v>-3.1368821292775628E-2</v>
      </c>
      <c r="J114" s="195">
        <f t="shared" si="35"/>
        <v>-132</v>
      </c>
      <c r="K114" s="196">
        <f t="shared" si="37"/>
        <v>1.3164813386509361E-3</v>
      </c>
      <c r="L114" s="103"/>
    </row>
    <row r="115" spans="1:12" x14ac:dyDescent="0.25">
      <c r="A115" s="193"/>
      <c r="B115" s="194" t="s">
        <v>121</v>
      </c>
      <c r="C115" s="195">
        <v>1415</v>
      </c>
      <c r="D115" s="195">
        <v>3652</v>
      </c>
      <c r="E115" s="195">
        <v>2701</v>
      </c>
      <c r="F115" s="195">
        <v>2228</v>
      </c>
      <c r="G115" s="195">
        <v>3906</v>
      </c>
      <c r="H115" s="195">
        <v>2726</v>
      </c>
      <c r="I115" s="196">
        <f t="shared" si="36"/>
        <v>-0.30209933435739889</v>
      </c>
      <c r="J115" s="195">
        <f t="shared" si="35"/>
        <v>-1180</v>
      </c>
      <c r="K115" s="196">
        <f t="shared" si="37"/>
        <v>8.8045341736075848E-4</v>
      </c>
      <c r="L115" s="103"/>
    </row>
    <row r="116" spans="1:12" x14ac:dyDescent="0.25">
      <c r="A116" s="193"/>
      <c r="B116" s="194" t="s">
        <v>130</v>
      </c>
      <c r="C116" s="195">
        <v>0</v>
      </c>
      <c r="D116" s="195">
        <v>481</v>
      </c>
      <c r="E116" s="195">
        <v>5288</v>
      </c>
      <c r="F116" s="195">
        <v>682</v>
      </c>
      <c r="G116" s="195">
        <v>352</v>
      </c>
      <c r="H116" s="195">
        <v>534</v>
      </c>
      <c r="I116" s="196">
        <f t="shared" si="36"/>
        <v>0.51704545454545459</v>
      </c>
      <c r="J116" s="195">
        <f t="shared" si="35"/>
        <v>182</v>
      </c>
      <c r="K116" s="196">
        <f t="shared" si="37"/>
        <v>1.7247326664367022E-4</v>
      </c>
      <c r="L116" s="103"/>
    </row>
    <row r="117" spans="1:12" x14ac:dyDescent="0.25">
      <c r="A117" s="193" t="s">
        <v>146</v>
      </c>
      <c r="B117" s="194" t="s">
        <v>133</v>
      </c>
      <c r="C117" s="195">
        <v>12</v>
      </c>
      <c r="D117" s="195">
        <v>211</v>
      </c>
      <c r="E117" s="195">
        <v>258</v>
      </c>
      <c r="F117" s="195">
        <v>251</v>
      </c>
      <c r="G117" s="195">
        <v>185</v>
      </c>
      <c r="H117" s="195">
        <v>270</v>
      </c>
      <c r="I117" s="196">
        <f t="shared" si="36"/>
        <v>0.45945945945945943</v>
      </c>
      <c r="J117" s="195">
        <f t="shared" si="35"/>
        <v>85</v>
      </c>
      <c r="K117" s="196">
        <f t="shared" si="37"/>
        <v>8.7205584258035509E-5</v>
      </c>
      <c r="L117" s="103"/>
    </row>
    <row r="118" spans="1:12" x14ac:dyDescent="0.25">
      <c r="A118" s="193" t="s">
        <v>147</v>
      </c>
      <c r="B118" s="199" t="s">
        <v>147</v>
      </c>
      <c r="C118" s="200">
        <f t="shared" ref="C118" si="38">C110-SUM(C111:C117)</f>
        <v>1296</v>
      </c>
      <c r="D118" s="200">
        <f t="shared" ref="D118:H118" si="39">D110-SUM(D111:D117)</f>
        <v>12457</v>
      </c>
      <c r="E118" s="200">
        <f t="shared" si="39"/>
        <v>17746</v>
      </c>
      <c r="F118" s="200">
        <f t="shared" si="39"/>
        <v>16555</v>
      </c>
      <c r="G118" s="200">
        <f t="shared" si="39"/>
        <v>17836</v>
      </c>
      <c r="H118" s="200">
        <f t="shared" si="39"/>
        <v>17712</v>
      </c>
      <c r="I118" s="201">
        <f t="shared" si="36"/>
        <v>-6.9522314420273901E-3</v>
      </c>
      <c r="J118" s="200">
        <f>H118-G118</f>
        <v>-124</v>
      </c>
      <c r="K118" s="201">
        <f t="shared" si="37"/>
        <v>5.7206863273271298E-3</v>
      </c>
      <c r="L118" s="103"/>
    </row>
    <row r="119" spans="1:12" s="177" customFormat="1" x14ac:dyDescent="0.25">
      <c r="A119" s="193"/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</row>
    <row r="120" spans="1:12" x14ac:dyDescent="0.25">
      <c r="A120" s="193"/>
      <c r="B120" s="187" t="s">
        <v>70</v>
      </c>
      <c r="C120" s="209">
        <v>17308</v>
      </c>
      <c r="D120" s="209">
        <v>42785</v>
      </c>
      <c r="E120" s="209">
        <v>48246</v>
      </c>
      <c r="F120" s="209">
        <v>49321</v>
      </c>
      <c r="G120" s="209">
        <v>43124</v>
      </c>
      <c r="H120" s="209">
        <v>55510</v>
      </c>
      <c r="I120" s="210">
        <f>IFERROR(H120/G120-1,"-")</f>
        <v>0.28721825433633241</v>
      </c>
      <c r="J120" s="209">
        <f>H120-G120</f>
        <v>12386</v>
      </c>
      <c r="K120" s="210">
        <f>H120/H$8</f>
        <v>1.79288221561613E-2</v>
      </c>
      <c r="L120" s="103"/>
    </row>
    <row r="121" spans="1:12" x14ac:dyDescent="0.25">
      <c r="A121" s="193" t="s">
        <v>98</v>
      </c>
      <c r="B121" s="190" t="s">
        <v>99</v>
      </c>
      <c r="C121" s="191">
        <v>12162</v>
      </c>
      <c r="D121" s="191">
        <v>24014</v>
      </c>
      <c r="E121" s="191">
        <v>26214</v>
      </c>
      <c r="F121" s="191">
        <v>28464</v>
      </c>
      <c r="G121" s="191">
        <v>24346</v>
      </c>
      <c r="H121" s="191">
        <v>34755</v>
      </c>
      <c r="I121" s="192">
        <f>IFERROR(H121/G121-1,"-")</f>
        <v>0.42754456584243816</v>
      </c>
      <c r="J121" s="191">
        <f t="shared" ref="J121:J131" si="40">H121-G121</f>
        <v>10409</v>
      </c>
      <c r="K121" s="192">
        <f>H121/H$8</f>
        <v>1.1225296595881571E-2</v>
      </c>
      <c r="L121" s="103"/>
    </row>
    <row r="122" spans="1:12" x14ac:dyDescent="0.25">
      <c r="A122" s="193" t="s">
        <v>105</v>
      </c>
      <c r="B122" s="194" t="s">
        <v>105</v>
      </c>
      <c r="C122" s="195">
        <v>4482</v>
      </c>
      <c r="D122" s="195">
        <v>11629</v>
      </c>
      <c r="E122" s="195">
        <v>11877</v>
      </c>
      <c r="F122" s="195">
        <v>11841</v>
      </c>
      <c r="G122" s="195">
        <v>8327</v>
      </c>
      <c r="H122" s="195">
        <v>13641</v>
      </c>
      <c r="I122" s="196">
        <f>IFERROR(H122/G122-1,"-")</f>
        <v>0.63816500540410703</v>
      </c>
      <c r="J122" s="195">
        <f t="shared" si="40"/>
        <v>5314</v>
      </c>
      <c r="K122" s="196">
        <f>H122/H$8</f>
        <v>4.4058199069031941E-3</v>
      </c>
      <c r="L122" s="103"/>
    </row>
    <row r="123" spans="1:12" x14ac:dyDescent="0.25">
      <c r="A123" s="193" t="s">
        <v>102</v>
      </c>
      <c r="B123" s="194" t="s">
        <v>102</v>
      </c>
      <c r="C123" s="195">
        <v>7680</v>
      </c>
      <c r="D123" s="195">
        <v>12385</v>
      </c>
      <c r="E123" s="195">
        <v>14337</v>
      </c>
      <c r="F123" s="195">
        <v>16623</v>
      </c>
      <c r="G123" s="195">
        <v>16019</v>
      </c>
      <c r="H123" s="195">
        <v>21114</v>
      </c>
      <c r="I123" s="196">
        <f>IFERROR(H123/G123-1,"-")</f>
        <v>0.31805980398277045</v>
      </c>
      <c r="J123" s="195">
        <f t="shared" si="40"/>
        <v>5095</v>
      </c>
      <c r="K123" s="196">
        <f>H123/H$8</f>
        <v>6.8194766889783766E-3</v>
      </c>
      <c r="L123" s="103"/>
    </row>
    <row r="124" spans="1:12" x14ac:dyDescent="0.25">
      <c r="A124" s="193"/>
      <c r="B124" s="190" t="s">
        <v>109</v>
      </c>
      <c r="C124" s="191">
        <v>5146</v>
      </c>
      <c r="D124" s="191">
        <v>18771</v>
      </c>
      <c r="E124" s="191">
        <v>22032</v>
      </c>
      <c r="F124" s="191">
        <v>20857</v>
      </c>
      <c r="G124" s="191">
        <v>18778</v>
      </c>
      <c r="H124" s="191">
        <v>20755</v>
      </c>
      <c r="I124" s="192">
        <f>IFERROR(H124/G124-1,"-")</f>
        <v>0.10528277771860695</v>
      </c>
      <c r="J124" s="191">
        <f t="shared" si="40"/>
        <v>1977</v>
      </c>
      <c r="K124" s="192">
        <f>H124/H$8</f>
        <v>6.7035255602797298E-3</v>
      </c>
      <c r="L124" s="103"/>
    </row>
    <row r="125" spans="1:12" s="74" customFormat="1" x14ac:dyDescent="0.25">
      <c r="A125" s="193"/>
      <c r="B125" s="194" t="s">
        <v>112</v>
      </c>
      <c r="C125" s="195">
        <v>273</v>
      </c>
      <c r="D125" s="195">
        <v>2145</v>
      </c>
      <c r="E125" s="195">
        <v>2166</v>
      </c>
      <c r="F125" s="195">
        <v>4936</v>
      </c>
      <c r="G125" s="195">
        <v>1826</v>
      </c>
      <c r="H125" s="195">
        <v>2377</v>
      </c>
      <c r="I125" s="196">
        <f t="shared" ref="I125:I132" si="41">IFERROR(H125/G125-1,"-")</f>
        <v>0.30175246440306691</v>
      </c>
      <c r="J125" s="195">
        <f t="shared" si="40"/>
        <v>551</v>
      </c>
      <c r="K125" s="196">
        <f t="shared" ref="K125:K132" si="42">H125/H$8</f>
        <v>7.6773212511611259E-4</v>
      </c>
      <c r="L125" s="197"/>
    </row>
    <row r="126" spans="1:12" s="74" customFormat="1" x14ac:dyDescent="0.25">
      <c r="A126" s="193"/>
      <c r="B126" s="194" t="s">
        <v>115</v>
      </c>
      <c r="C126" s="195">
        <v>260</v>
      </c>
      <c r="D126" s="195">
        <v>3109</v>
      </c>
      <c r="E126" s="195">
        <v>2874</v>
      </c>
      <c r="F126" s="195">
        <v>3162</v>
      </c>
      <c r="G126" s="195">
        <v>3189</v>
      </c>
      <c r="H126" s="195">
        <v>3369</v>
      </c>
      <c r="I126" s="196">
        <f t="shared" si="41"/>
        <v>5.6444026340545683E-2</v>
      </c>
      <c r="J126" s="195">
        <f t="shared" si="40"/>
        <v>180</v>
      </c>
      <c r="K126" s="196">
        <f t="shared" si="42"/>
        <v>1.088131901353043E-3</v>
      </c>
      <c r="L126" s="197"/>
    </row>
    <row r="127" spans="1:12" x14ac:dyDescent="0.25">
      <c r="A127" s="193"/>
      <c r="B127" s="194" t="s">
        <v>118</v>
      </c>
      <c r="C127" s="195">
        <v>349</v>
      </c>
      <c r="D127" s="195">
        <v>1609</v>
      </c>
      <c r="E127" s="195">
        <v>1751</v>
      </c>
      <c r="F127" s="195">
        <v>1685</v>
      </c>
      <c r="G127" s="195">
        <v>1740</v>
      </c>
      <c r="H127" s="195">
        <v>2322</v>
      </c>
      <c r="I127" s="196">
        <f t="shared" si="41"/>
        <v>0.33448275862068955</v>
      </c>
      <c r="J127" s="195">
        <f t="shared" si="40"/>
        <v>582</v>
      </c>
      <c r="K127" s="196">
        <f t="shared" si="42"/>
        <v>7.4996802461910542E-4</v>
      </c>
      <c r="L127" s="103"/>
    </row>
    <row r="128" spans="1:12" x14ac:dyDescent="0.25">
      <c r="A128" s="193"/>
      <c r="B128" s="194" t="s">
        <v>125</v>
      </c>
      <c r="C128" s="195">
        <v>47</v>
      </c>
      <c r="D128" s="195">
        <v>410</v>
      </c>
      <c r="E128" s="195">
        <v>371</v>
      </c>
      <c r="F128" s="195">
        <v>441</v>
      </c>
      <c r="G128" s="195">
        <v>517</v>
      </c>
      <c r="H128" s="195">
        <v>609</v>
      </c>
      <c r="I128" s="196">
        <f t="shared" si="41"/>
        <v>0.17794970986460346</v>
      </c>
      <c r="J128" s="195">
        <f t="shared" si="40"/>
        <v>92</v>
      </c>
      <c r="K128" s="196">
        <f t="shared" si="42"/>
        <v>1.966970400486801E-4</v>
      </c>
      <c r="L128" s="103"/>
    </row>
    <row r="129" spans="1:12" x14ac:dyDescent="0.25">
      <c r="A129" s="193"/>
      <c r="B129" s="194" t="s">
        <v>121</v>
      </c>
      <c r="C129" s="195">
        <v>131</v>
      </c>
      <c r="D129" s="195">
        <v>411</v>
      </c>
      <c r="E129" s="195">
        <v>291</v>
      </c>
      <c r="F129" s="195">
        <v>386</v>
      </c>
      <c r="G129" s="195">
        <v>369</v>
      </c>
      <c r="H129" s="195">
        <v>582</v>
      </c>
      <c r="I129" s="196">
        <f t="shared" si="41"/>
        <v>0.5772357723577235</v>
      </c>
      <c r="J129" s="195">
        <f t="shared" si="40"/>
        <v>213</v>
      </c>
      <c r="K129" s="196">
        <f t="shared" si="42"/>
        <v>1.8797648162287655E-4</v>
      </c>
      <c r="L129" s="103"/>
    </row>
    <row r="130" spans="1:12" x14ac:dyDescent="0.25">
      <c r="A130" s="193"/>
      <c r="B130" s="194" t="s">
        <v>130</v>
      </c>
      <c r="C130" s="195">
        <v>45</v>
      </c>
      <c r="D130" s="195">
        <v>250</v>
      </c>
      <c r="E130" s="195">
        <v>275</v>
      </c>
      <c r="F130" s="195">
        <v>223</v>
      </c>
      <c r="G130" s="195">
        <v>251</v>
      </c>
      <c r="H130" s="195">
        <v>121</v>
      </c>
      <c r="I130" s="196">
        <f t="shared" si="41"/>
        <v>-0.51792828685258963</v>
      </c>
      <c r="J130" s="195">
        <f t="shared" si="40"/>
        <v>-130</v>
      </c>
      <c r="K130" s="196">
        <f t="shared" si="42"/>
        <v>3.9081021093415914E-5</v>
      </c>
      <c r="L130" s="103"/>
    </row>
    <row r="131" spans="1:12" x14ac:dyDescent="0.25">
      <c r="A131" s="193" t="s">
        <v>146</v>
      </c>
      <c r="B131" s="194" t="s">
        <v>133</v>
      </c>
      <c r="C131" s="195">
        <v>33</v>
      </c>
      <c r="D131" s="195">
        <v>242</v>
      </c>
      <c r="E131" s="195">
        <v>286</v>
      </c>
      <c r="F131" s="195">
        <v>452</v>
      </c>
      <c r="G131" s="195">
        <v>379</v>
      </c>
      <c r="H131" s="195">
        <v>184</v>
      </c>
      <c r="I131" s="196">
        <f t="shared" si="41"/>
        <v>-0.51451187335092352</v>
      </c>
      <c r="J131" s="195">
        <f t="shared" si="40"/>
        <v>-195</v>
      </c>
      <c r="K131" s="196">
        <f t="shared" si="42"/>
        <v>5.9428990753624203E-5</v>
      </c>
      <c r="L131" s="103"/>
    </row>
    <row r="132" spans="1:12" x14ac:dyDescent="0.25">
      <c r="A132" s="193" t="s">
        <v>147</v>
      </c>
      <c r="B132" s="199" t="s">
        <v>147</v>
      </c>
      <c r="C132" s="200">
        <f t="shared" ref="C132" si="43">C124-SUM(C125:C131)</f>
        <v>4008</v>
      </c>
      <c r="D132" s="200">
        <f t="shared" ref="D132:H132" si="44">D124-SUM(D125:D131)</f>
        <v>10595</v>
      </c>
      <c r="E132" s="200">
        <f t="shared" si="44"/>
        <v>14018</v>
      </c>
      <c r="F132" s="200">
        <f t="shared" si="44"/>
        <v>9572</v>
      </c>
      <c r="G132" s="200">
        <f t="shared" si="44"/>
        <v>10507</v>
      </c>
      <c r="H132" s="200">
        <f t="shared" si="44"/>
        <v>11191</v>
      </c>
      <c r="I132" s="201">
        <f t="shared" si="41"/>
        <v>6.509945750452073E-2</v>
      </c>
      <c r="J132" s="200">
        <f>H132-G132</f>
        <v>684</v>
      </c>
      <c r="K132" s="201">
        <f t="shared" si="42"/>
        <v>3.6145099756728716E-3</v>
      </c>
      <c r="L132" s="103"/>
    </row>
    <row r="133" spans="1:12" s="177" customFormat="1" x14ac:dyDescent="0.25">
      <c r="A133" s="193"/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</row>
    <row r="134" spans="1:12" x14ac:dyDescent="0.25">
      <c r="A134" s="193"/>
      <c r="B134" s="187" t="s">
        <v>70</v>
      </c>
      <c r="C134" s="209">
        <v>24343</v>
      </c>
      <c r="D134" s="209">
        <v>137179</v>
      </c>
      <c r="E134" s="209">
        <v>154114</v>
      </c>
      <c r="F134" s="209">
        <v>170708</v>
      </c>
      <c r="G134" s="209">
        <v>177711</v>
      </c>
      <c r="H134" s="209">
        <v>182092</v>
      </c>
      <c r="I134" s="210">
        <f>IFERROR(H134/G134-1,"-")</f>
        <v>2.4652385052135184E-2</v>
      </c>
      <c r="J134" s="209">
        <f>H134-G134</f>
        <v>4381</v>
      </c>
      <c r="K134" s="210">
        <f>H134/H$8</f>
        <v>5.8812737958200752E-2</v>
      </c>
      <c r="L134" s="103"/>
    </row>
    <row r="135" spans="1:12" x14ac:dyDescent="0.25">
      <c r="A135" s="193" t="s">
        <v>98</v>
      </c>
      <c r="B135" s="190" t="s">
        <v>99</v>
      </c>
      <c r="C135" s="191">
        <v>9331</v>
      </c>
      <c r="D135" s="191">
        <v>13514</v>
      </c>
      <c r="E135" s="191">
        <v>5869</v>
      </c>
      <c r="F135" s="191">
        <v>7638</v>
      </c>
      <c r="G135" s="191">
        <v>11565</v>
      </c>
      <c r="H135" s="191">
        <v>10139</v>
      </c>
      <c r="I135" s="192">
        <f>IFERROR(H135/G135-1,"-")</f>
        <v>-0.12330306960657156</v>
      </c>
      <c r="J135" s="191">
        <f t="shared" ref="J135:J145" si="45">H135-G135</f>
        <v>-1426</v>
      </c>
      <c r="K135" s="192">
        <f>H135/H$8</f>
        <v>3.2747311807119336E-3</v>
      </c>
      <c r="L135" s="103"/>
    </row>
    <row r="136" spans="1:12" x14ac:dyDescent="0.25">
      <c r="A136" s="193" t="s">
        <v>105</v>
      </c>
      <c r="B136" s="194" t="s">
        <v>105</v>
      </c>
      <c r="C136" s="195">
        <v>6911</v>
      </c>
      <c r="D136" s="195">
        <v>8620</v>
      </c>
      <c r="E136" s="195">
        <v>3152</v>
      </c>
      <c r="F136" s="195">
        <v>4290</v>
      </c>
      <c r="G136" s="195">
        <v>6827</v>
      </c>
      <c r="H136" s="195">
        <v>4754</v>
      </c>
      <c r="I136" s="196">
        <f>IFERROR(H136/G136-1,"-")</f>
        <v>-0.30364728284751719</v>
      </c>
      <c r="J136" s="195">
        <f t="shared" si="45"/>
        <v>-2073</v>
      </c>
      <c r="K136" s="196">
        <f>H136/H$8</f>
        <v>1.5354642502322252E-3</v>
      </c>
      <c r="L136" s="103"/>
    </row>
    <row r="137" spans="1:12" x14ac:dyDescent="0.25">
      <c r="A137" s="193" t="s">
        <v>102</v>
      </c>
      <c r="B137" s="194" t="s">
        <v>102</v>
      </c>
      <c r="C137" s="195">
        <v>2420</v>
      </c>
      <c r="D137" s="195">
        <v>4894</v>
      </c>
      <c r="E137" s="195">
        <v>2717</v>
      </c>
      <c r="F137" s="195">
        <v>3348</v>
      </c>
      <c r="G137" s="195">
        <v>4738</v>
      </c>
      <c r="H137" s="195">
        <v>5385</v>
      </c>
      <c r="I137" s="196">
        <f>IFERROR(H137/G137-1,"-")</f>
        <v>0.13655550865344024</v>
      </c>
      <c r="J137" s="195">
        <f t="shared" si="45"/>
        <v>647</v>
      </c>
      <c r="K137" s="196">
        <f>H137/H$8</f>
        <v>1.7392669304797082E-3</v>
      </c>
      <c r="L137" s="103"/>
    </row>
    <row r="138" spans="1:12" x14ac:dyDescent="0.25">
      <c r="A138" s="193"/>
      <c r="B138" s="190" t="s">
        <v>109</v>
      </c>
      <c r="C138" s="191">
        <v>15012</v>
      </c>
      <c r="D138" s="191">
        <v>123665</v>
      </c>
      <c r="E138" s="191">
        <v>148245</v>
      </c>
      <c r="F138" s="191">
        <v>163070</v>
      </c>
      <c r="G138" s="191">
        <v>166146</v>
      </c>
      <c r="H138" s="191">
        <v>171953</v>
      </c>
      <c r="I138" s="192">
        <f>IFERROR(H138/G138-1,"-")</f>
        <v>3.4951187509780546E-2</v>
      </c>
      <c r="J138" s="191">
        <f t="shared" si="45"/>
        <v>5807</v>
      </c>
      <c r="K138" s="192">
        <f>H138/H$8</f>
        <v>5.5538006777488817E-2</v>
      </c>
      <c r="L138" s="103"/>
    </row>
    <row r="139" spans="1:12" s="74" customFormat="1" x14ac:dyDescent="0.25">
      <c r="A139" s="193"/>
      <c r="B139" s="194" t="s">
        <v>112</v>
      </c>
      <c r="C139" s="195">
        <v>2708</v>
      </c>
      <c r="D139" s="195">
        <v>49641</v>
      </c>
      <c r="E139" s="195">
        <v>74615</v>
      </c>
      <c r="F139" s="195">
        <v>76376</v>
      </c>
      <c r="G139" s="195">
        <v>81903</v>
      </c>
      <c r="H139" s="195">
        <v>83011</v>
      </c>
      <c r="I139" s="196">
        <f t="shared" ref="I139:I146" si="46">IFERROR(H139/G139-1,"-")</f>
        <v>1.352819799030569E-2</v>
      </c>
      <c r="J139" s="195">
        <f t="shared" si="45"/>
        <v>1108</v>
      </c>
      <c r="K139" s="196">
        <f t="shared" ref="K139:K146" si="47">H139/H$8</f>
        <v>2.6811195388310317E-2</v>
      </c>
      <c r="L139" s="197"/>
    </row>
    <row r="140" spans="1:12" s="74" customFormat="1" x14ac:dyDescent="0.25">
      <c r="A140" s="193"/>
      <c r="B140" s="194" t="s">
        <v>115</v>
      </c>
      <c r="C140" s="195">
        <v>926</v>
      </c>
      <c r="D140" s="195">
        <v>12835</v>
      </c>
      <c r="E140" s="195">
        <v>12307</v>
      </c>
      <c r="F140" s="195">
        <v>18958</v>
      </c>
      <c r="G140" s="195">
        <v>17259</v>
      </c>
      <c r="H140" s="195">
        <v>19414</v>
      </c>
      <c r="I140" s="196">
        <f t="shared" si="46"/>
        <v>0.12486239063676918</v>
      </c>
      <c r="J140" s="195">
        <f t="shared" si="45"/>
        <v>2155</v>
      </c>
      <c r="K140" s="196">
        <f t="shared" si="47"/>
        <v>6.2704044917981537E-3</v>
      </c>
      <c r="L140" s="197"/>
    </row>
    <row r="141" spans="1:12" x14ac:dyDescent="0.25">
      <c r="A141" s="193"/>
      <c r="B141" s="194" t="s">
        <v>118</v>
      </c>
      <c r="C141" s="195">
        <v>5235</v>
      </c>
      <c r="D141" s="195">
        <v>16798</v>
      </c>
      <c r="E141" s="195">
        <v>17416</v>
      </c>
      <c r="F141" s="195">
        <v>15664</v>
      </c>
      <c r="G141" s="195">
        <v>17244</v>
      </c>
      <c r="H141" s="195">
        <v>18386</v>
      </c>
      <c r="I141" s="196">
        <f t="shared" si="46"/>
        <v>6.6225933658083935E-2</v>
      </c>
      <c r="J141" s="195">
        <f t="shared" si="45"/>
        <v>1142</v>
      </c>
      <c r="K141" s="196">
        <f t="shared" si="47"/>
        <v>5.938377304326818E-3</v>
      </c>
      <c r="L141" s="103"/>
    </row>
    <row r="142" spans="1:12" x14ac:dyDescent="0.25">
      <c r="A142" s="193"/>
      <c r="B142" s="194" t="s">
        <v>125</v>
      </c>
      <c r="C142" s="195">
        <v>87</v>
      </c>
      <c r="D142" s="195">
        <v>6408</v>
      </c>
      <c r="E142" s="195">
        <v>4458</v>
      </c>
      <c r="F142" s="195">
        <v>7404</v>
      </c>
      <c r="G142" s="195">
        <v>5114</v>
      </c>
      <c r="H142" s="195">
        <v>6487</v>
      </c>
      <c r="I142" s="196">
        <f t="shared" si="46"/>
        <v>0.2684786859601096</v>
      </c>
      <c r="J142" s="195">
        <f t="shared" si="45"/>
        <v>1373</v>
      </c>
      <c r="K142" s="196">
        <f t="shared" si="47"/>
        <v>2.095194907710653E-3</v>
      </c>
      <c r="L142" s="103"/>
    </row>
    <row r="143" spans="1:12" x14ac:dyDescent="0.25">
      <c r="A143" s="193"/>
      <c r="B143" s="194" t="s">
        <v>121</v>
      </c>
      <c r="C143" s="195">
        <v>641</v>
      </c>
      <c r="D143" s="195">
        <v>2408</v>
      </c>
      <c r="E143" s="195">
        <v>2416</v>
      </c>
      <c r="F143" s="195">
        <v>3994</v>
      </c>
      <c r="G143" s="195">
        <v>2226</v>
      </c>
      <c r="H143" s="195">
        <v>3035</v>
      </c>
      <c r="I143" s="196">
        <f t="shared" si="46"/>
        <v>0.36343216531895783</v>
      </c>
      <c r="J143" s="195">
        <f t="shared" si="45"/>
        <v>809</v>
      </c>
      <c r="K143" s="196">
        <f t="shared" si="47"/>
        <v>9.8025536378939918E-4</v>
      </c>
      <c r="L143" s="103"/>
    </row>
    <row r="144" spans="1:12" x14ac:dyDescent="0.25">
      <c r="A144" s="193"/>
      <c r="B144" s="194" t="s">
        <v>130</v>
      </c>
      <c r="C144" s="195">
        <v>3</v>
      </c>
      <c r="D144" s="195">
        <v>1715</v>
      </c>
      <c r="E144" s="195">
        <v>539</v>
      </c>
      <c r="F144" s="195">
        <v>545</v>
      </c>
      <c r="G144" s="195">
        <v>1114</v>
      </c>
      <c r="H144" s="195">
        <v>947</v>
      </c>
      <c r="I144" s="196">
        <f t="shared" si="46"/>
        <v>-0.14991023339317777</v>
      </c>
      <c r="J144" s="195">
        <f t="shared" si="45"/>
        <v>-167</v>
      </c>
      <c r="K144" s="196">
        <f t="shared" si="47"/>
        <v>3.0586551219392453E-4</v>
      </c>
      <c r="L144" s="103"/>
    </row>
    <row r="145" spans="1:12" x14ac:dyDescent="0.25">
      <c r="A145" s="193" t="s">
        <v>146</v>
      </c>
      <c r="B145" s="194" t="s">
        <v>133</v>
      </c>
      <c r="C145" s="195">
        <v>331</v>
      </c>
      <c r="D145" s="195">
        <v>446</v>
      </c>
      <c r="E145" s="195">
        <v>612</v>
      </c>
      <c r="F145" s="195">
        <v>560</v>
      </c>
      <c r="G145" s="195">
        <v>1129</v>
      </c>
      <c r="H145" s="195">
        <v>1277</v>
      </c>
      <c r="I145" s="196">
        <f t="shared" si="46"/>
        <v>0.13108945969884855</v>
      </c>
      <c r="J145" s="195">
        <f t="shared" si="45"/>
        <v>148</v>
      </c>
      <c r="K145" s="196">
        <f t="shared" si="47"/>
        <v>4.1245011517596796E-4</v>
      </c>
      <c r="L145" s="103"/>
    </row>
    <row r="146" spans="1:12" x14ac:dyDescent="0.25">
      <c r="A146" s="193" t="s">
        <v>147</v>
      </c>
      <c r="B146" s="199" t="s">
        <v>147</v>
      </c>
      <c r="C146" s="200">
        <f t="shared" ref="C146" si="48">C138-SUM(C139:C145)</f>
        <v>5081</v>
      </c>
      <c r="D146" s="200">
        <f t="shared" ref="D146:H146" si="49">D138-SUM(D139:D145)</f>
        <v>33414</v>
      </c>
      <c r="E146" s="200">
        <f t="shared" si="49"/>
        <v>35882</v>
      </c>
      <c r="F146" s="200">
        <f t="shared" si="49"/>
        <v>39569</v>
      </c>
      <c r="G146" s="200">
        <f t="shared" si="49"/>
        <v>40157</v>
      </c>
      <c r="H146" s="200">
        <f t="shared" si="49"/>
        <v>39396</v>
      </c>
      <c r="I146" s="201">
        <f t="shared" si="46"/>
        <v>-1.895061882112703E-2</v>
      </c>
      <c r="J146" s="200">
        <f>H146-G146</f>
        <v>-761</v>
      </c>
      <c r="K146" s="201">
        <f t="shared" si="47"/>
        <v>1.2724263694183582E-2</v>
      </c>
      <c r="L146" s="103"/>
    </row>
    <row r="147" spans="1:12" s="177" customFormat="1" x14ac:dyDescent="0.25">
      <c r="A147" s="193"/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</row>
    <row r="148" spans="1:12" x14ac:dyDescent="0.25">
      <c r="A148" s="193"/>
      <c r="B148" s="187" t="s">
        <v>70</v>
      </c>
      <c r="C148" s="209">
        <v>6958</v>
      </c>
      <c r="D148" s="209">
        <v>42046</v>
      </c>
      <c r="E148" s="209">
        <v>49304</v>
      </c>
      <c r="F148" s="209">
        <v>57291</v>
      </c>
      <c r="G148" s="209">
        <v>57597</v>
      </c>
      <c r="H148" s="209">
        <v>58199</v>
      </c>
      <c r="I148" s="210">
        <f>IFERROR(H148/G148-1,"-")</f>
        <v>1.0451933260412938E-2</v>
      </c>
      <c r="J148" s="209">
        <f>H148-G148</f>
        <v>602</v>
      </c>
      <c r="K148" s="210">
        <f>H148/H$8</f>
        <v>1.8797325178642254E-2</v>
      </c>
      <c r="L148" s="103"/>
    </row>
    <row r="149" spans="1:12" x14ac:dyDescent="0.25">
      <c r="A149" s="193" t="s">
        <v>98</v>
      </c>
      <c r="B149" s="190" t="s">
        <v>99</v>
      </c>
      <c r="C149" s="191">
        <v>4573</v>
      </c>
      <c r="D149" s="191">
        <v>12363</v>
      </c>
      <c r="E149" s="191">
        <v>23106</v>
      </c>
      <c r="F149" s="191">
        <v>20408</v>
      </c>
      <c r="G149" s="191">
        <v>21711</v>
      </c>
      <c r="H149" s="191">
        <v>18107</v>
      </c>
      <c r="I149" s="192">
        <f>IFERROR(H149/G149-1,"-")</f>
        <v>-0.1659988024503708</v>
      </c>
      <c r="J149" s="191">
        <f t="shared" ref="J149:J159" si="50">H149-G149</f>
        <v>-3604</v>
      </c>
      <c r="K149" s="192">
        <f>H149/H$8</f>
        <v>5.8482648672601818E-3</v>
      </c>
      <c r="L149" s="103"/>
    </row>
    <row r="150" spans="1:12" x14ac:dyDescent="0.25">
      <c r="A150" s="193" t="s">
        <v>105</v>
      </c>
      <c r="B150" s="194" t="s">
        <v>105</v>
      </c>
      <c r="C150" s="195">
        <v>3573</v>
      </c>
      <c r="D150" s="195">
        <v>9422</v>
      </c>
      <c r="E150" s="195">
        <v>15839</v>
      </c>
      <c r="F150" s="195">
        <v>17350</v>
      </c>
      <c r="G150" s="195">
        <v>13811</v>
      </c>
      <c r="H150" s="195">
        <v>12988</v>
      </c>
      <c r="I150" s="196">
        <f>IFERROR(H150/G150-1,"-")</f>
        <v>-5.9590181739193393E-2</v>
      </c>
      <c r="J150" s="195">
        <f t="shared" si="50"/>
        <v>-823</v>
      </c>
      <c r="K150" s="196">
        <f>H150/H$8</f>
        <v>4.1949115864569082E-3</v>
      </c>
      <c r="L150" s="103"/>
    </row>
    <row r="151" spans="1:12" x14ac:dyDescent="0.25">
      <c r="A151" s="193" t="s">
        <v>102</v>
      </c>
      <c r="B151" s="194" t="s">
        <v>102</v>
      </c>
      <c r="C151" s="195">
        <v>1000</v>
      </c>
      <c r="D151" s="195">
        <v>2941</v>
      </c>
      <c r="E151" s="195">
        <v>7267</v>
      </c>
      <c r="F151" s="195">
        <v>3058</v>
      </c>
      <c r="G151" s="195">
        <v>7900</v>
      </c>
      <c r="H151" s="195">
        <v>5119</v>
      </c>
      <c r="I151" s="196">
        <f>IFERROR(H151/G151-1,"-")</f>
        <v>-0.35202531645569624</v>
      </c>
      <c r="J151" s="195">
        <f t="shared" si="50"/>
        <v>-2781</v>
      </c>
      <c r="K151" s="196">
        <f>H151/H$8</f>
        <v>1.6533532808032732E-3</v>
      </c>
      <c r="L151" s="103"/>
    </row>
    <row r="152" spans="1:12" x14ac:dyDescent="0.25">
      <c r="A152" s="193"/>
      <c r="B152" s="190" t="s">
        <v>109</v>
      </c>
      <c r="C152" s="191">
        <v>2385</v>
      </c>
      <c r="D152" s="191">
        <v>29683</v>
      </c>
      <c r="E152" s="191">
        <v>26198</v>
      </c>
      <c r="F152" s="191">
        <v>36883</v>
      </c>
      <c r="G152" s="191">
        <v>35886</v>
      </c>
      <c r="H152" s="191">
        <v>40092</v>
      </c>
      <c r="I152" s="192">
        <f>IFERROR(H152/G152-1,"-")</f>
        <v>0.11720448085604418</v>
      </c>
      <c r="J152" s="191">
        <f t="shared" si="50"/>
        <v>4206</v>
      </c>
      <c r="K152" s="192">
        <f>H152/H$8</f>
        <v>1.2949060311382073E-2</v>
      </c>
      <c r="L152" s="103"/>
    </row>
    <row r="153" spans="1:12" s="74" customFormat="1" x14ac:dyDescent="0.25">
      <c r="A153" s="193"/>
      <c r="B153" s="194" t="s">
        <v>112</v>
      </c>
      <c r="C153" s="195">
        <v>230</v>
      </c>
      <c r="D153" s="195">
        <v>6225</v>
      </c>
      <c r="E153" s="195">
        <v>8549</v>
      </c>
      <c r="F153" s="195">
        <v>11323</v>
      </c>
      <c r="G153" s="195">
        <v>7760</v>
      </c>
      <c r="H153" s="195">
        <v>3777</v>
      </c>
      <c r="I153" s="196">
        <f t="shared" ref="I153:I160" si="51">IFERROR(H153/G153-1,"-")</f>
        <v>-0.51327319587628861</v>
      </c>
      <c r="J153" s="195">
        <f t="shared" si="50"/>
        <v>-3983</v>
      </c>
      <c r="K153" s="196">
        <f t="shared" ref="K153:K160" si="52">H153/H$8</f>
        <v>1.2199092286762968E-3</v>
      </c>
      <c r="L153" s="197"/>
    </row>
    <row r="154" spans="1:12" s="74" customFormat="1" x14ac:dyDescent="0.25">
      <c r="A154" s="193"/>
      <c r="B154" s="194" t="s">
        <v>115</v>
      </c>
      <c r="C154" s="195">
        <v>126</v>
      </c>
      <c r="D154" s="195">
        <v>12083</v>
      </c>
      <c r="E154" s="195">
        <v>7099</v>
      </c>
      <c r="F154" s="195">
        <v>8963</v>
      </c>
      <c r="G154" s="195">
        <v>8193</v>
      </c>
      <c r="H154" s="195">
        <v>8910</v>
      </c>
      <c r="I154" s="196">
        <f t="shared" si="51"/>
        <v>8.7513731233980208E-2</v>
      </c>
      <c r="J154" s="195">
        <f t="shared" si="50"/>
        <v>717</v>
      </c>
      <c r="K154" s="196">
        <f t="shared" si="52"/>
        <v>2.8777842805151718E-3</v>
      </c>
      <c r="L154" s="197"/>
    </row>
    <row r="155" spans="1:12" x14ac:dyDescent="0.25">
      <c r="A155" s="193"/>
      <c r="B155" s="194" t="s">
        <v>118</v>
      </c>
      <c r="C155" s="195">
        <v>165</v>
      </c>
      <c r="D155" s="195">
        <v>3555</v>
      </c>
      <c r="E155" s="195">
        <v>2990</v>
      </c>
      <c r="F155" s="195">
        <v>6221</v>
      </c>
      <c r="G155" s="195">
        <v>9164</v>
      </c>
      <c r="H155" s="195">
        <v>17124</v>
      </c>
      <c r="I155" s="196">
        <f t="shared" si="51"/>
        <v>0.86861632474901795</v>
      </c>
      <c r="J155" s="195">
        <f t="shared" si="50"/>
        <v>7960</v>
      </c>
      <c r="K155" s="196">
        <f t="shared" si="52"/>
        <v>5.5307719438318524E-3</v>
      </c>
      <c r="L155" s="103"/>
    </row>
    <row r="156" spans="1:12" x14ac:dyDescent="0.25">
      <c r="A156" s="193"/>
      <c r="B156" s="194" t="s">
        <v>125</v>
      </c>
      <c r="C156" s="195">
        <v>5</v>
      </c>
      <c r="D156" s="195">
        <v>545</v>
      </c>
      <c r="E156" s="195">
        <v>866</v>
      </c>
      <c r="F156" s="195">
        <v>1217</v>
      </c>
      <c r="G156" s="195">
        <v>1519</v>
      </c>
      <c r="H156" s="195">
        <v>1184</v>
      </c>
      <c r="I156" s="196">
        <f t="shared" si="51"/>
        <v>-0.22053982883475975</v>
      </c>
      <c r="J156" s="195">
        <f t="shared" si="50"/>
        <v>-335</v>
      </c>
      <c r="K156" s="196">
        <f t="shared" si="52"/>
        <v>3.824126361537557E-4</v>
      </c>
      <c r="L156" s="103"/>
    </row>
    <row r="157" spans="1:12" x14ac:dyDescent="0.25">
      <c r="A157" s="193"/>
      <c r="B157" s="194" t="s">
        <v>121</v>
      </c>
      <c r="C157" s="195">
        <v>730</v>
      </c>
      <c r="D157" s="195">
        <v>1833</v>
      </c>
      <c r="E157" s="195">
        <v>1997</v>
      </c>
      <c r="F157" s="195">
        <v>1491</v>
      </c>
      <c r="G157" s="195">
        <v>1446</v>
      </c>
      <c r="H157" s="195">
        <v>1557</v>
      </c>
      <c r="I157" s="196">
        <f t="shared" si="51"/>
        <v>7.6763485477178373E-2</v>
      </c>
      <c r="J157" s="195">
        <f t="shared" si="50"/>
        <v>111</v>
      </c>
      <c r="K157" s="196">
        <f t="shared" si="52"/>
        <v>5.0288553588800477E-4</v>
      </c>
      <c r="L157" s="103"/>
    </row>
    <row r="158" spans="1:12" x14ac:dyDescent="0.25">
      <c r="A158" s="193"/>
      <c r="B158" s="194" t="s">
        <v>130</v>
      </c>
      <c r="C158" s="195">
        <v>6</v>
      </c>
      <c r="D158" s="195">
        <v>316</v>
      </c>
      <c r="E158" s="195">
        <v>126</v>
      </c>
      <c r="F158" s="195">
        <v>110</v>
      </c>
      <c r="G158" s="195">
        <v>37</v>
      </c>
      <c r="H158" s="195">
        <v>127</v>
      </c>
      <c r="I158" s="196">
        <f t="shared" si="51"/>
        <v>2.4324324324324325</v>
      </c>
      <c r="J158" s="195">
        <f t="shared" si="50"/>
        <v>90</v>
      </c>
      <c r="K158" s="196">
        <f t="shared" si="52"/>
        <v>4.1018922965816702E-5</v>
      </c>
      <c r="L158" s="103"/>
    </row>
    <row r="159" spans="1:12" x14ac:dyDescent="0.25">
      <c r="A159" s="193" t="s">
        <v>146</v>
      </c>
      <c r="B159" s="194" t="s">
        <v>133</v>
      </c>
      <c r="C159" s="195">
        <v>8</v>
      </c>
      <c r="D159" s="195">
        <v>208</v>
      </c>
      <c r="E159" s="195">
        <v>155</v>
      </c>
      <c r="F159" s="195">
        <v>344</v>
      </c>
      <c r="G159" s="195">
        <v>221</v>
      </c>
      <c r="H159" s="195">
        <v>221</v>
      </c>
      <c r="I159" s="196">
        <f t="shared" si="51"/>
        <v>0</v>
      </c>
      <c r="J159" s="195">
        <f t="shared" si="50"/>
        <v>0</v>
      </c>
      <c r="K159" s="196">
        <f t="shared" si="52"/>
        <v>7.1379385633429062E-5</v>
      </c>
      <c r="L159" s="103"/>
    </row>
    <row r="160" spans="1:12" x14ac:dyDescent="0.25">
      <c r="A160" s="193" t="s">
        <v>147</v>
      </c>
      <c r="B160" s="199" t="s">
        <v>147</v>
      </c>
      <c r="C160" s="200">
        <f t="shared" ref="C160" si="53">C152-SUM(C153:C159)</f>
        <v>1115</v>
      </c>
      <c r="D160" s="200">
        <f t="shared" ref="D160:H160" si="54">D152-SUM(D153:D159)</f>
        <v>4918</v>
      </c>
      <c r="E160" s="200">
        <f t="shared" si="54"/>
        <v>4416</v>
      </c>
      <c r="F160" s="200">
        <f t="shared" si="54"/>
        <v>7214</v>
      </c>
      <c r="G160" s="200">
        <f t="shared" si="54"/>
        <v>7546</v>
      </c>
      <c r="H160" s="200">
        <f t="shared" si="54"/>
        <v>7192</v>
      </c>
      <c r="I160" s="201">
        <f t="shared" si="51"/>
        <v>-4.6912271402067329E-2</v>
      </c>
      <c r="J160" s="200">
        <f>H160-G160</f>
        <v>-354</v>
      </c>
      <c r="K160" s="201">
        <f t="shared" si="52"/>
        <v>2.3228983777177459E-3</v>
      </c>
      <c r="L160" s="103"/>
    </row>
    <row r="161" spans="1:14" ht="6" customHeight="1" x14ac:dyDescent="0.25">
      <c r="A161" s="193"/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</row>
    <row r="162" spans="1:14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</row>
  </sheetData>
  <mergeCells count="1">
    <mergeCell ref="B4:K4"/>
  </mergeCells>
  <pageMargins left="0.25" right="0.25" top="0.75" bottom="0.75" header="0.3" footer="0.3"/>
  <pageSetup paperSize="9" scale="2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F4198-E7E0-47F9-B225-BC8B629A3BB1}">
  <sheetPr>
    <tabColor rgb="FFF29140"/>
    <pageSetUpPr fitToPage="1"/>
  </sheetPr>
  <dimension ref="A1:N162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3" spans="1:12" ht="42" customHeight="1" thickBot="1" x14ac:dyDescent="0.3">
      <c r="B3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3" s="12"/>
      <c r="D3" s="12"/>
      <c r="E3" s="12"/>
      <c r="F3" s="12"/>
      <c r="G3" s="12"/>
      <c r="H3" s="12"/>
      <c r="I3" s="12"/>
      <c r="J3" s="12"/>
      <c r="K3" s="12"/>
    </row>
    <row r="4" spans="1:12" ht="6" customHeight="1" x14ac:dyDescent="0.25"/>
    <row r="5" spans="1:12" ht="15.75" x14ac:dyDescent="0.25">
      <c r="B5" s="174"/>
      <c r="C5" s="203" t="s">
        <v>45</v>
      </c>
      <c r="D5" s="204"/>
      <c r="E5" s="204"/>
      <c r="F5" s="204"/>
      <c r="G5" s="204"/>
      <c r="H5" s="204"/>
      <c r="I5" s="204"/>
      <c r="J5" s="204"/>
      <c r="K5" s="204"/>
    </row>
    <row r="6" spans="1:12" s="177" customFormat="1" ht="72" customHeight="1" x14ac:dyDescent="0.25">
      <c r="B6" s="178"/>
      <c r="C6" s="205" t="s">
        <v>265</v>
      </c>
      <c r="D6" s="205" t="s">
        <v>266</v>
      </c>
      <c r="E6" s="205" t="s">
        <v>267</v>
      </c>
      <c r="F6" s="205" t="s">
        <v>268</v>
      </c>
      <c r="G6" s="205" t="s">
        <v>269</v>
      </c>
      <c r="H6" s="205" t="s">
        <v>270</v>
      </c>
      <c r="I6" s="206" t="str">
        <f>CONCATENATE("var. ",RIGHT(H6,2),"/",RIGHT(G6,2))</f>
        <v>var. 25/24</v>
      </c>
      <c r="J6" s="205" t="str">
        <f>CONCATENATE("dif. ",RIGHT(H6,2),"/",RIGHT(G6,2))</f>
        <v>dif. 25/24</v>
      </c>
      <c r="K6" s="206" t="str">
        <f>CONCATENATE("Cuota s/ total lugares de residencia ",RIGHT(H6,4))</f>
        <v>Cuota s/ total lugares de residencia 2025</v>
      </c>
    </row>
    <row r="7" spans="1:12" s="177" customFormat="1" x14ac:dyDescent="0.25"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</row>
    <row r="8" spans="1:12" x14ac:dyDescent="0.25">
      <c r="A8" s="1"/>
      <c r="B8" s="187" t="s">
        <v>70</v>
      </c>
      <c r="C8" s="209">
        <v>9315912</v>
      </c>
      <c r="D8" s="209">
        <v>9473050</v>
      </c>
      <c r="E8" s="209">
        <v>25825446</v>
      </c>
      <c r="F8" s="209">
        <v>28612657</v>
      </c>
      <c r="G8" s="209">
        <v>30210542</v>
      </c>
      <c r="H8" s="209">
        <v>29300863</v>
      </c>
      <c r="I8" s="210">
        <f>IFERROR(H8/G8-1,"-")</f>
        <v>-3.0111310151270998E-2</v>
      </c>
      <c r="J8" s="209">
        <f>H8-G8</f>
        <v>-909679</v>
      </c>
      <c r="K8" s="210">
        <f>H8/H$8</f>
        <v>1</v>
      </c>
      <c r="L8" s="103"/>
    </row>
    <row r="9" spans="1:12" x14ac:dyDescent="0.25">
      <c r="A9" s="1" t="s">
        <v>98</v>
      </c>
      <c r="B9" s="190" t="s">
        <v>99</v>
      </c>
      <c r="C9" s="191">
        <v>1512350</v>
      </c>
      <c r="D9" s="191">
        <v>2440467</v>
      </c>
      <c r="E9" s="191">
        <v>3575173</v>
      </c>
      <c r="F9" s="191">
        <v>3738561</v>
      </c>
      <c r="G9" s="191">
        <v>3694044</v>
      </c>
      <c r="H9" s="191">
        <v>3652225</v>
      </c>
      <c r="I9" s="192">
        <f>IFERROR(H9/G9-1,"-")</f>
        <v>-1.1320655628357379E-2</v>
      </c>
      <c r="J9" s="191">
        <f t="shared" ref="J9:J19" si="0">H9-G9</f>
        <v>-41819</v>
      </c>
      <c r="K9" s="192">
        <f>H9/H$8</f>
        <v>0.1246456461026421</v>
      </c>
      <c r="L9" s="103"/>
    </row>
    <row r="10" spans="1:12" x14ac:dyDescent="0.25">
      <c r="A10" s="193" t="s">
        <v>105</v>
      </c>
      <c r="B10" s="194" t="s">
        <v>105</v>
      </c>
      <c r="C10" s="195">
        <v>490250</v>
      </c>
      <c r="D10" s="195">
        <v>978940</v>
      </c>
      <c r="E10" s="195">
        <v>1054198</v>
      </c>
      <c r="F10" s="195">
        <v>1156630</v>
      </c>
      <c r="G10" s="195">
        <v>1172318</v>
      </c>
      <c r="H10" s="195">
        <v>1056271</v>
      </c>
      <c r="I10" s="196">
        <f>IFERROR(H10/G10-1,"-")</f>
        <v>-9.8989352718289791E-2</v>
      </c>
      <c r="J10" s="195">
        <f t="shared" si="0"/>
        <v>-116047</v>
      </c>
      <c r="K10" s="196">
        <f>H10/H$8</f>
        <v>3.6049142989406147E-2</v>
      </c>
      <c r="L10" s="103"/>
    </row>
    <row r="11" spans="1:12" x14ac:dyDescent="0.25">
      <c r="A11" s="193" t="s">
        <v>102</v>
      </c>
      <c r="B11" s="194" t="s">
        <v>102</v>
      </c>
      <c r="C11" s="195">
        <v>1022100</v>
      </c>
      <c r="D11" s="195">
        <v>1461527</v>
      </c>
      <c r="E11" s="195">
        <v>2520975</v>
      </c>
      <c r="F11" s="195">
        <v>2581931</v>
      </c>
      <c r="G11" s="195">
        <v>2521726</v>
      </c>
      <c r="H11" s="195">
        <v>2595954</v>
      </c>
      <c r="I11" s="196">
        <f>IFERROR(H11/G11-1,"-")</f>
        <v>2.9435394646365243E-2</v>
      </c>
      <c r="J11" s="195">
        <f t="shared" si="0"/>
        <v>74228</v>
      </c>
      <c r="K11" s="196">
        <f>H11/H$8</f>
        <v>8.8596503113235942E-2</v>
      </c>
      <c r="L11" s="103"/>
    </row>
    <row r="12" spans="1:12" x14ac:dyDescent="0.25">
      <c r="A12" s="1"/>
      <c r="B12" s="190" t="s">
        <v>109</v>
      </c>
      <c r="C12" s="191">
        <v>7803562</v>
      </c>
      <c r="D12" s="191">
        <v>7032583</v>
      </c>
      <c r="E12" s="191">
        <v>22250273</v>
      </c>
      <c r="F12" s="191">
        <v>24874096</v>
      </c>
      <c r="G12" s="191">
        <v>26516498</v>
      </c>
      <c r="H12" s="191">
        <v>25648638</v>
      </c>
      <c r="I12" s="192">
        <f>IFERROR(H12/G12-1,"-")</f>
        <v>-3.2729057962329722E-2</v>
      </c>
      <c r="J12" s="191">
        <f t="shared" si="0"/>
        <v>-867860</v>
      </c>
      <c r="K12" s="192">
        <f>H12/H$8</f>
        <v>0.87535435389735794</v>
      </c>
      <c r="L12" s="103"/>
    </row>
    <row r="13" spans="1:12" s="74" customFormat="1" x14ac:dyDescent="0.25">
      <c r="A13" s="193"/>
      <c r="B13" s="194" t="s">
        <v>112</v>
      </c>
      <c r="C13" s="195">
        <v>3001948</v>
      </c>
      <c r="D13" s="195">
        <v>1962433</v>
      </c>
      <c r="E13" s="195">
        <v>10615397</v>
      </c>
      <c r="F13" s="195">
        <v>11675069</v>
      </c>
      <c r="G13" s="195">
        <v>12500229</v>
      </c>
      <c r="H13" s="195">
        <v>12185968</v>
      </c>
      <c r="I13" s="196">
        <f t="shared" ref="I13:I20" si="1">IFERROR(H13/G13-1,"-")</f>
        <v>-2.5140419427516103E-2</v>
      </c>
      <c r="J13" s="195">
        <f t="shared" si="0"/>
        <v>-314261</v>
      </c>
      <c r="K13" s="196">
        <f t="shared" ref="K13:K20" si="2">H13/H$8</f>
        <v>0.41589109508481031</v>
      </c>
      <c r="L13" s="197"/>
    </row>
    <row r="14" spans="1:12" s="74" customFormat="1" x14ac:dyDescent="0.25">
      <c r="A14" s="193"/>
      <c r="B14" s="194" t="s">
        <v>115</v>
      </c>
      <c r="C14" s="195">
        <v>1160708</v>
      </c>
      <c r="D14" s="195">
        <v>1140960</v>
      </c>
      <c r="E14" s="195">
        <v>2470654</v>
      </c>
      <c r="F14" s="195">
        <v>2832520</v>
      </c>
      <c r="G14" s="195">
        <v>2982992</v>
      </c>
      <c r="H14" s="195">
        <v>2823654</v>
      </c>
      <c r="I14" s="196">
        <f t="shared" si="1"/>
        <v>-5.3415496923893913E-2</v>
      </c>
      <c r="J14" s="195">
        <f t="shared" si="0"/>
        <v>-159338</v>
      </c>
      <c r="K14" s="196">
        <f t="shared" si="2"/>
        <v>9.6367605281796651E-2</v>
      </c>
      <c r="L14" s="197"/>
    </row>
    <row r="15" spans="1:12" x14ac:dyDescent="0.25">
      <c r="A15" s="193"/>
      <c r="B15" s="194" t="s">
        <v>118</v>
      </c>
      <c r="C15" s="195">
        <v>359040</v>
      </c>
      <c r="D15" s="195">
        <v>619460</v>
      </c>
      <c r="E15" s="195">
        <v>1072113</v>
      </c>
      <c r="F15" s="195">
        <v>1296269</v>
      </c>
      <c r="G15" s="195">
        <v>1376511</v>
      </c>
      <c r="H15" s="195">
        <v>1334239</v>
      </c>
      <c r="I15" s="196">
        <f t="shared" si="1"/>
        <v>-3.0709525750248323E-2</v>
      </c>
      <c r="J15" s="195">
        <f t="shared" si="0"/>
        <v>-42272</v>
      </c>
      <c r="K15" s="196">
        <f t="shared" si="2"/>
        <v>4.5535826026694162E-2</v>
      </c>
      <c r="L15" s="103"/>
    </row>
    <row r="16" spans="1:12" x14ac:dyDescent="0.25">
      <c r="A16" s="193"/>
      <c r="B16" s="194" t="s">
        <v>125</v>
      </c>
      <c r="C16" s="195">
        <v>282778</v>
      </c>
      <c r="D16" s="195">
        <v>483766</v>
      </c>
      <c r="E16" s="195">
        <v>1110628</v>
      </c>
      <c r="F16" s="195">
        <v>1119405</v>
      </c>
      <c r="G16" s="195">
        <v>1166775</v>
      </c>
      <c r="H16" s="195">
        <v>1093898</v>
      </c>
      <c r="I16" s="196">
        <f t="shared" si="1"/>
        <v>-6.2460200124274223E-2</v>
      </c>
      <c r="J16" s="195">
        <f t="shared" si="0"/>
        <v>-72877</v>
      </c>
      <c r="K16" s="196">
        <f t="shared" si="2"/>
        <v>3.7333303118068567E-2</v>
      </c>
      <c r="L16" s="103"/>
    </row>
    <row r="17" spans="1:12" x14ac:dyDescent="0.25">
      <c r="A17" s="193"/>
      <c r="B17" s="194" t="s">
        <v>121</v>
      </c>
      <c r="C17" s="195">
        <v>409476</v>
      </c>
      <c r="D17" s="195">
        <v>471051</v>
      </c>
      <c r="E17" s="195">
        <v>914694</v>
      </c>
      <c r="F17" s="195">
        <v>951216</v>
      </c>
      <c r="G17" s="195">
        <v>983481</v>
      </c>
      <c r="H17" s="195">
        <v>904463</v>
      </c>
      <c r="I17" s="196">
        <f t="shared" si="1"/>
        <v>-8.0345222734348742E-2</v>
      </c>
      <c r="J17" s="195">
        <f t="shared" si="0"/>
        <v>-79018</v>
      </c>
      <c r="K17" s="196">
        <f t="shared" si="2"/>
        <v>3.0868135180864811E-2</v>
      </c>
      <c r="L17" s="103"/>
    </row>
    <row r="18" spans="1:12" x14ac:dyDescent="0.25">
      <c r="A18" s="193"/>
      <c r="B18" s="194" t="s">
        <v>130</v>
      </c>
      <c r="C18" s="195">
        <v>240272</v>
      </c>
      <c r="D18" s="195">
        <v>63065</v>
      </c>
      <c r="E18" s="195">
        <v>349565</v>
      </c>
      <c r="F18" s="195">
        <v>398489</v>
      </c>
      <c r="G18" s="195">
        <v>383984</v>
      </c>
      <c r="H18" s="195">
        <v>373213</v>
      </c>
      <c r="I18" s="196">
        <f t="shared" si="1"/>
        <v>-2.8050647943664297E-2</v>
      </c>
      <c r="J18" s="195">
        <f t="shared" si="0"/>
        <v>-10771</v>
      </c>
      <c r="K18" s="196">
        <f t="shared" si="2"/>
        <v>1.2737269888603622E-2</v>
      </c>
      <c r="L18" s="103"/>
    </row>
    <row r="19" spans="1:12" x14ac:dyDescent="0.25">
      <c r="A19" s="193" t="s">
        <v>146</v>
      </c>
      <c r="B19" s="194" t="s">
        <v>133</v>
      </c>
      <c r="C19" s="195">
        <v>343263</v>
      </c>
      <c r="D19" s="195">
        <v>40458</v>
      </c>
      <c r="E19" s="195">
        <v>253216</v>
      </c>
      <c r="F19" s="195">
        <v>357881</v>
      </c>
      <c r="G19" s="195">
        <v>367398</v>
      </c>
      <c r="H19" s="195">
        <v>315830</v>
      </c>
      <c r="I19" s="196">
        <f t="shared" si="1"/>
        <v>-0.14036004550922976</v>
      </c>
      <c r="J19" s="195">
        <f t="shared" si="0"/>
        <v>-51568</v>
      </c>
      <c r="K19" s="196">
        <f t="shared" si="2"/>
        <v>1.0778863407538542E-2</v>
      </c>
      <c r="L19" s="103"/>
    </row>
    <row r="20" spans="1:12" x14ac:dyDescent="0.25">
      <c r="A20" s="193" t="s">
        <v>147</v>
      </c>
      <c r="B20" s="199" t="s">
        <v>147</v>
      </c>
      <c r="C20" s="200">
        <f t="shared" ref="C20" si="3">C12-SUM(C13:C19)</f>
        <v>2006077</v>
      </c>
      <c r="D20" s="200">
        <f t="shared" ref="D20:H20" si="4">D12-SUM(D13:D19)</f>
        <v>2251390</v>
      </c>
      <c r="E20" s="200">
        <f t="shared" si="4"/>
        <v>5464006</v>
      </c>
      <c r="F20" s="200">
        <f t="shared" si="4"/>
        <v>6243247</v>
      </c>
      <c r="G20" s="200">
        <f t="shared" si="4"/>
        <v>6755128</v>
      </c>
      <c r="H20" s="200">
        <f t="shared" si="4"/>
        <v>6617373</v>
      </c>
      <c r="I20" s="201">
        <f t="shared" si="1"/>
        <v>-2.0392655772029755E-2</v>
      </c>
      <c r="J20" s="200">
        <f>H20-G20</f>
        <v>-137755</v>
      </c>
      <c r="K20" s="201">
        <f t="shared" si="2"/>
        <v>0.22584225590898124</v>
      </c>
      <c r="L20" s="103"/>
    </row>
    <row r="21" spans="1:12" s="177" customFormat="1" x14ac:dyDescent="0.25">
      <c r="A21" s="193"/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</row>
    <row r="22" spans="1:12" x14ac:dyDescent="0.25">
      <c r="A22" s="193"/>
      <c r="B22" s="187" t="s">
        <v>70</v>
      </c>
      <c r="C22" s="209">
        <v>3365944</v>
      </c>
      <c r="D22" s="209">
        <v>4006726</v>
      </c>
      <c r="E22" s="209">
        <v>10458907</v>
      </c>
      <c r="F22" s="209">
        <v>11285244</v>
      </c>
      <c r="G22" s="209">
        <v>11574731</v>
      </c>
      <c r="H22" s="209">
        <v>10948784</v>
      </c>
      <c r="I22" s="210">
        <f>IFERROR(H22/G22-1,"-")</f>
        <v>-5.40787513765979E-2</v>
      </c>
      <c r="J22" s="209">
        <f>H22-G22</f>
        <v>-625947</v>
      </c>
      <c r="K22" s="210">
        <f>H22/H$8</f>
        <v>0.37366762883400395</v>
      </c>
      <c r="L22" s="103"/>
    </row>
    <row r="23" spans="1:12" x14ac:dyDescent="0.25">
      <c r="A23" s="193" t="s">
        <v>98</v>
      </c>
      <c r="B23" s="190" t="s">
        <v>99</v>
      </c>
      <c r="C23" s="191">
        <v>329366</v>
      </c>
      <c r="D23" s="191">
        <v>827617</v>
      </c>
      <c r="E23" s="191">
        <v>805373</v>
      </c>
      <c r="F23" s="191">
        <v>715304</v>
      </c>
      <c r="G23" s="191">
        <v>652740</v>
      </c>
      <c r="H23" s="191">
        <v>573335</v>
      </c>
      <c r="I23" s="192">
        <f>IFERROR(H23/G23-1,"-")</f>
        <v>-0.12164874222508193</v>
      </c>
      <c r="J23" s="191">
        <f t="shared" ref="J23:J33" si="5">H23-G23</f>
        <v>-79405</v>
      </c>
      <c r="K23" s="192">
        <f>H23/H$8</f>
        <v>1.9567171110284363E-2</v>
      </c>
      <c r="L23" s="103"/>
    </row>
    <row r="24" spans="1:12" x14ac:dyDescent="0.25">
      <c r="A24" s="193" t="s">
        <v>105</v>
      </c>
      <c r="B24" s="194" t="s">
        <v>105</v>
      </c>
      <c r="C24" s="195">
        <v>154119</v>
      </c>
      <c r="D24" s="195">
        <v>314308</v>
      </c>
      <c r="E24" s="195">
        <v>245937</v>
      </c>
      <c r="F24" s="195">
        <v>227528</v>
      </c>
      <c r="G24" s="195">
        <v>196116</v>
      </c>
      <c r="H24" s="195">
        <v>197407</v>
      </c>
      <c r="I24" s="196">
        <f>IFERROR(H24/G24-1,"-")</f>
        <v>6.5828387280997269E-3</v>
      </c>
      <c r="J24" s="195">
        <f t="shared" si="5"/>
        <v>1291</v>
      </c>
      <c r="K24" s="196">
        <f>H24/H$8</f>
        <v>6.737241834822408E-3</v>
      </c>
      <c r="L24" s="103"/>
    </row>
    <row r="25" spans="1:12" x14ac:dyDescent="0.25">
      <c r="A25" s="193" t="s">
        <v>102</v>
      </c>
      <c r="B25" s="194" t="s">
        <v>102</v>
      </c>
      <c r="C25" s="195">
        <v>175247</v>
      </c>
      <c r="D25" s="195">
        <v>513309</v>
      </c>
      <c r="E25" s="195">
        <v>559436</v>
      </c>
      <c r="F25" s="195">
        <v>487776</v>
      </c>
      <c r="G25" s="195">
        <v>456624</v>
      </c>
      <c r="H25" s="195">
        <v>375928</v>
      </c>
      <c r="I25" s="196">
        <f>IFERROR(H25/G25-1,"-")</f>
        <v>-0.1767230806965906</v>
      </c>
      <c r="J25" s="195">
        <f t="shared" si="5"/>
        <v>-80696</v>
      </c>
      <c r="K25" s="196">
        <f>H25/H$8</f>
        <v>1.2829929275461956E-2</v>
      </c>
      <c r="L25" s="103"/>
    </row>
    <row r="26" spans="1:12" x14ac:dyDescent="0.25">
      <c r="A26" s="193"/>
      <c r="B26" s="190" t="s">
        <v>109</v>
      </c>
      <c r="C26" s="191">
        <v>3036578</v>
      </c>
      <c r="D26" s="191">
        <v>3179109</v>
      </c>
      <c r="E26" s="191">
        <v>9653534</v>
      </c>
      <c r="F26" s="191">
        <v>10569940</v>
      </c>
      <c r="G26" s="191">
        <v>10921991</v>
      </c>
      <c r="H26" s="191">
        <v>10375449</v>
      </c>
      <c r="I26" s="192">
        <f>IFERROR(H26/G26-1,"-")</f>
        <v>-5.0040510013238393E-2</v>
      </c>
      <c r="J26" s="191">
        <f t="shared" si="5"/>
        <v>-546542</v>
      </c>
      <c r="K26" s="192">
        <f>H26/H$8</f>
        <v>0.35410045772371962</v>
      </c>
      <c r="L26" s="103"/>
    </row>
    <row r="27" spans="1:12" s="74" customFormat="1" x14ac:dyDescent="0.25">
      <c r="A27" s="193"/>
      <c r="B27" s="194" t="s">
        <v>112</v>
      </c>
      <c r="C27" s="195">
        <v>1278867</v>
      </c>
      <c r="D27" s="195">
        <v>932064</v>
      </c>
      <c r="E27" s="195">
        <v>4904862</v>
      </c>
      <c r="F27" s="195">
        <v>5434073</v>
      </c>
      <c r="G27" s="195">
        <v>5667269</v>
      </c>
      <c r="H27" s="195">
        <v>5447840</v>
      </c>
      <c r="I27" s="196">
        <f t="shared" ref="I27:I34" si="6">IFERROR(H27/G27-1,"-")</f>
        <v>-3.8718649141235351E-2</v>
      </c>
      <c r="J27" s="195">
        <f t="shared" si="5"/>
        <v>-219429</v>
      </c>
      <c r="K27" s="196">
        <f t="shared" ref="K27:K34" si="7">H27/H$8</f>
        <v>0.18592762950360883</v>
      </c>
      <c r="L27" s="197"/>
    </row>
    <row r="28" spans="1:12" s="74" customFormat="1" x14ac:dyDescent="0.25">
      <c r="A28" s="193"/>
      <c r="B28" s="194" t="s">
        <v>115</v>
      </c>
      <c r="C28" s="195">
        <v>418778</v>
      </c>
      <c r="D28" s="195">
        <v>579381</v>
      </c>
      <c r="E28" s="195">
        <v>1139756</v>
      </c>
      <c r="F28" s="195">
        <v>1212128</v>
      </c>
      <c r="G28" s="195">
        <v>1197540</v>
      </c>
      <c r="H28" s="195">
        <v>1100708</v>
      </c>
      <c r="I28" s="196">
        <f t="shared" si="6"/>
        <v>-8.0859094477011229E-2</v>
      </c>
      <c r="J28" s="195">
        <f t="shared" si="5"/>
        <v>-96832</v>
      </c>
      <c r="K28" s="196">
        <f t="shared" si="7"/>
        <v>3.75657194806856E-2</v>
      </c>
      <c r="L28" s="197"/>
    </row>
    <row r="29" spans="1:12" x14ac:dyDescent="0.25">
      <c r="A29" s="193"/>
      <c r="B29" s="194" t="s">
        <v>118</v>
      </c>
      <c r="C29" s="195">
        <v>150527</v>
      </c>
      <c r="D29" s="195">
        <v>248371</v>
      </c>
      <c r="E29" s="195">
        <v>394345</v>
      </c>
      <c r="F29" s="195">
        <v>453330</v>
      </c>
      <c r="G29" s="195">
        <v>402067</v>
      </c>
      <c r="H29" s="195">
        <v>336428</v>
      </c>
      <c r="I29" s="196">
        <f t="shared" si="6"/>
        <v>-0.16325388554643883</v>
      </c>
      <c r="J29" s="195">
        <f t="shared" si="5"/>
        <v>-65639</v>
      </c>
      <c r="K29" s="196">
        <f t="shared" si="7"/>
        <v>1.1481846114907946E-2</v>
      </c>
      <c r="L29" s="103"/>
    </row>
    <row r="30" spans="1:12" x14ac:dyDescent="0.25">
      <c r="A30" s="193"/>
      <c r="B30" s="194" t="s">
        <v>125</v>
      </c>
      <c r="C30" s="195">
        <v>122447</v>
      </c>
      <c r="D30" s="195">
        <v>232109</v>
      </c>
      <c r="E30" s="195">
        <v>512097</v>
      </c>
      <c r="F30" s="195">
        <v>474886</v>
      </c>
      <c r="G30" s="195">
        <v>478395</v>
      </c>
      <c r="H30" s="195">
        <v>458800</v>
      </c>
      <c r="I30" s="196">
        <f t="shared" si="6"/>
        <v>-4.0959876252887217E-2</v>
      </c>
      <c r="J30" s="195">
        <f t="shared" si="5"/>
        <v>-19595</v>
      </c>
      <c r="K30" s="196">
        <f t="shared" si="7"/>
        <v>1.5658241874991874E-2</v>
      </c>
      <c r="L30" s="103"/>
    </row>
    <row r="31" spans="1:12" x14ac:dyDescent="0.25">
      <c r="A31" s="193"/>
      <c r="B31" s="194" t="s">
        <v>121</v>
      </c>
      <c r="C31" s="195">
        <v>203480</v>
      </c>
      <c r="D31" s="195">
        <v>266327</v>
      </c>
      <c r="E31" s="195">
        <v>521622</v>
      </c>
      <c r="F31" s="195">
        <v>497643</v>
      </c>
      <c r="G31" s="195">
        <v>514784</v>
      </c>
      <c r="H31" s="195">
        <v>478962</v>
      </c>
      <c r="I31" s="196">
        <f t="shared" si="6"/>
        <v>-6.9586467333872082E-2</v>
      </c>
      <c r="J31" s="195">
        <f t="shared" si="5"/>
        <v>-35822</v>
      </c>
      <c r="K31" s="196">
        <f t="shared" si="7"/>
        <v>1.6346344474563769E-2</v>
      </c>
      <c r="L31" s="103"/>
    </row>
    <row r="32" spans="1:12" x14ac:dyDescent="0.25">
      <c r="A32" s="193"/>
      <c r="B32" s="194" t="s">
        <v>130</v>
      </c>
      <c r="C32" s="195">
        <v>94535</v>
      </c>
      <c r="D32" s="195">
        <v>17632</v>
      </c>
      <c r="E32" s="195">
        <v>131098</v>
      </c>
      <c r="F32" s="195">
        <v>142686</v>
      </c>
      <c r="G32" s="195">
        <v>141703</v>
      </c>
      <c r="H32" s="195">
        <v>130117</v>
      </c>
      <c r="I32" s="196">
        <f t="shared" si="6"/>
        <v>-8.1762559719977701E-2</v>
      </c>
      <c r="J32" s="195">
        <f t="shared" si="5"/>
        <v>-11586</v>
      </c>
      <c r="K32" s="196">
        <f t="shared" si="7"/>
        <v>4.4407224456153391E-3</v>
      </c>
      <c r="L32" s="103"/>
    </row>
    <row r="33" spans="1:12" x14ac:dyDescent="0.25">
      <c r="A33" s="193" t="s">
        <v>146</v>
      </c>
      <c r="B33" s="194" t="s">
        <v>133</v>
      </c>
      <c r="C33" s="195">
        <v>104071</v>
      </c>
      <c r="D33" s="195">
        <v>7988</v>
      </c>
      <c r="E33" s="195">
        <v>81865</v>
      </c>
      <c r="F33" s="195">
        <v>122820</v>
      </c>
      <c r="G33" s="195">
        <v>116203</v>
      </c>
      <c r="H33" s="195">
        <v>99901</v>
      </c>
      <c r="I33" s="196">
        <f t="shared" si="6"/>
        <v>-0.14028897704878529</v>
      </c>
      <c r="J33" s="195">
        <f t="shared" si="5"/>
        <v>-16302</v>
      </c>
      <c r="K33" s="196">
        <f t="shared" si="7"/>
        <v>3.4094900208229361E-3</v>
      </c>
      <c r="L33" s="103"/>
    </row>
    <row r="34" spans="1:12" x14ac:dyDescent="0.25">
      <c r="A34" s="193" t="s">
        <v>147</v>
      </c>
      <c r="B34" s="199" t="s">
        <v>147</v>
      </c>
      <c r="C34" s="200">
        <f t="shared" ref="C34" si="8">C26-SUM(C27:C33)</f>
        <v>663873</v>
      </c>
      <c r="D34" s="200">
        <f t="shared" ref="D34:H34" si="9">D26-SUM(D27:D33)</f>
        <v>895237</v>
      </c>
      <c r="E34" s="200">
        <f t="shared" si="9"/>
        <v>1967889</v>
      </c>
      <c r="F34" s="200">
        <f t="shared" si="9"/>
        <v>2232374</v>
      </c>
      <c r="G34" s="200">
        <f t="shared" si="9"/>
        <v>2404030</v>
      </c>
      <c r="H34" s="200">
        <f t="shared" si="9"/>
        <v>2322693</v>
      </c>
      <c r="I34" s="201">
        <f t="shared" si="6"/>
        <v>-3.383360440593508E-2</v>
      </c>
      <c r="J34" s="200">
        <f>H34-G34</f>
        <v>-81337</v>
      </c>
      <c r="K34" s="201">
        <f t="shared" si="7"/>
        <v>7.9270463808523317E-2</v>
      </c>
      <c r="L34" s="103"/>
    </row>
    <row r="35" spans="1:12" s="177" customFormat="1" x14ac:dyDescent="0.25">
      <c r="A35" s="193"/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2" x14ac:dyDescent="0.25">
      <c r="A36" s="193"/>
      <c r="B36" s="187" t="s">
        <v>70</v>
      </c>
      <c r="C36" s="209">
        <v>2506467</v>
      </c>
      <c r="D36" s="209">
        <v>2126689</v>
      </c>
      <c r="E36" s="209">
        <v>7289014</v>
      </c>
      <c r="F36" s="209">
        <v>8059754</v>
      </c>
      <c r="G36" s="209">
        <v>8362569</v>
      </c>
      <c r="H36" s="209">
        <v>8376469</v>
      </c>
      <c r="I36" s="210">
        <f>IFERROR(H36/G36-1,"-")</f>
        <v>1.6621686469791008E-3</v>
      </c>
      <c r="J36" s="209">
        <f>H36-G36</f>
        <v>13900</v>
      </c>
      <c r="K36" s="210">
        <f>H36/H$8</f>
        <v>0.28587789376715628</v>
      </c>
      <c r="L36" s="103"/>
    </row>
    <row r="37" spans="1:12" x14ac:dyDescent="0.25">
      <c r="A37" s="193" t="s">
        <v>98</v>
      </c>
      <c r="B37" s="190" t="s">
        <v>99</v>
      </c>
      <c r="C37" s="191">
        <v>203267</v>
      </c>
      <c r="D37" s="191">
        <v>290315</v>
      </c>
      <c r="E37" s="191">
        <v>445959</v>
      </c>
      <c r="F37" s="191">
        <v>494880</v>
      </c>
      <c r="G37" s="191">
        <v>482419</v>
      </c>
      <c r="H37" s="191">
        <v>496163</v>
      </c>
      <c r="I37" s="192">
        <f>IFERROR(H37/G37-1,"-")</f>
        <v>2.8489756829643831E-2</v>
      </c>
      <c r="J37" s="191">
        <f t="shared" ref="J37:J47" si="10">H37-G37</f>
        <v>13744</v>
      </c>
      <c r="K37" s="192">
        <f>H37/H$8</f>
        <v>1.6933392030125529E-2</v>
      </c>
      <c r="L37" s="103"/>
    </row>
    <row r="38" spans="1:12" x14ac:dyDescent="0.25">
      <c r="A38" s="193" t="s">
        <v>105</v>
      </c>
      <c r="B38" s="194" t="s">
        <v>105</v>
      </c>
      <c r="C38" s="195">
        <v>78592</v>
      </c>
      <c r="D38" s="195">
        <v>115704</v>
      </c>
      <c r="E38" s="195">
        <v>142277</v>
      </c>
      <c r="F38" s="195">
        <v>187694</v>
      </c>
      <c r="G38" s="195">
        <v>214740</v>
      </c>
      <c r="H38" s="195">
        <v>191381</v>
      </c>
      <c r="I38" s="196">
        <f>IFERROR(H38/G38-1,"-")</f>
        <v>-0.10877805718543354</v>
      </c>
      <c r="J38" s="195">
        <f t="shared" si="10"/>
        <v>-23359</v>
      </c>
      <c r="K38" s="196">
        <f>H38/H$8</f>
        <v>6.5315823632908013E-3</v>
      </c>
      <c r="L38" s="103"/>
    </row>
    <row r="39" spans="1:12" x14ac:dyDescent="0.25">
      <c r="A39" s="193" t="s">
        <v>102</v>
      </c>
      <c r="B39" s="194" t="s">
        <v>102</v>
      </c>
      <c r="C39" s="195">
        <v>124675</v>
      </c>
      <c r="D39" s="195">
        <v>174611</v>
      </c>
      <c r="E39" s="195">
        <v>303682</v>
      </c>
      <c r="F39" s="195">
        <v>307186</v>
      </c>
      <c r="G39" s="195">
        <v>267679</v>
      </c>
      <c r="H39" s="195">
        <v>304782</v>
      </c>
      <c r="I39" s="196">
        <f>IFERROR(H39/G39-1,"-")</f>
        <v>0.1386100515916453</v>
      </c>
      <c r="J39" s="195">
        <f t="shared" si="10"/>
        <v>37103</v>
      </c>
      <c r="K39" s="196">
        <f>H39/H$8</f>
        <v>1.0401809666834728E-2</v>
      </c>
      <c r="L39" s="103"/>
    </row>
    <row r="40" spans="1:12" x14ac:dyDescent="0.25">
      <c r="A40" s="193"/>
      <c r="B40" s="190" t="s">
        <v>109</v>
      </c>
      <c r="C40" s="191">
        <v>2303200</v>
      </c>
      <c r="D40" s="191">
        <v>1836374</v>
      </c>
      <c r="E40" s="191">
        <v>6843055</v>
      </c>
      <c r="F40" s="191">
        <v>7564874</v>
      </c>
      <c r="G40" s="191">
        <v>7880150</v>
      </c>
      <c r="H40" s="191">
        <v>7880306</v>
      </c>
      <c r="I40" s="192">
        <f>IFERROR(H40/G40-1,"-")</f>
        <v>1.9796577476416388E-5</v>
      </c>
      <c r="J40" s="191">
        <f t="shared" si="10"/>
        <v>156</v>
      </c>
      <c r="K40" s="192">
        <f>H40/H$8</f>
        <v>0.26894450173703077</v>
      </c>
      <c r="L40" s="103"/>
    </row>
    <row r="41" spans="1:12" s="74" customFormat="1" x14ac:dyDescent="0.25">
      <c r="A41" s="193"/>
      <c r="B41" s="194" t="s">
        <v>112</v>
      </c>
      <c r="C41" s="195">
        <v>1005724</v>
      </c>
      <c r="D41" s="195">
        <v>624960</v>
      </c>
      <c r="E41" s="195">
        <v>3576394</v>
      </c>
      <c r="F41" s="195">
        <v>3920000</v>
      </c>
      <c r="G41" s="195">
        <v>4161787</v>
      </c>
      <c r="H41" s="195">
        <v>4166601</v>
      </c>
      <c r="I41" s="196">
        <f t="shared" ref="I41:I48" si="11">IFERROR(H41/G41-1,"-")</f>
        <v>1.1567146516628934E-3</v>
      </c>
      <c r="J41" s="195">
        <f t="shared" si="10"/>
        <v>4814</v>
      </c>
      <c r="K41" s="196">
        <f t="shared" ref="K41:K48" si="12">H41/H$8</f>
        <v>0.14220062392018964</v>
      </c>
      <c r="L41" s="197"/>
    </row>
    <row r="42" spans="1:12" s="74" customFormat="1" x14ac:dyDescent="0.25">
      <c r="A42" s="193"/>
      <c r="B42" s="194" t="s">
        <v>115</v>
      </c>
      <c r="C42" s="195">
        <v>119434</v>
      </c>
      <c r="D42" s="195">
        <v>102989</v>
      </c>
      <c r="E42" s="195">
        <v>238491</v>
      </c>
      <c r="F42" s="195">
        <v>283326</v>
      </c>
      <c r="G42" s="195">
        <v>275563</v>
      </c>
      <c r="H42" s="195">
        <v>289891</v>
      </c>
      <c r="I42" s="196">
        <f t="shared" si="11"/>
        <v>5.1995369479937548E-2</v>
      </c>
      <c r="J42" s="195">
        <f t="shared" si="10"/>
        <v>14328</v>
      </c>
      <c r="K42" s="196">
        <f t="shared" si="12"/>
        <v>9.8935993796496705E-3</v>
      </c>
      <c r="L42" s="197"/>
    </row>
    <row r="43" spans="1:12" x14ac:dyDescent="0.25">
      <c r="A43" s="193"/>
      <c r="B43" s="194" t="s">
        <v>118</v>
      </c>
      <c r="C43" s="195">
        <v>61048</v>
      </c>
      <c r="D43" s="195">
        <v>96745</v>
      </c>
      <c r="E43" s="195">
        <v>163873</v>
      </c>
      <c r="F43" s="195">
        <v>207861</v>
      </c>
      <c r="G43" s="195">
        <v>207311</v>
      </c>
      <c r="H43" s="195">
        <v>209308</v>
      </c>
      <c r="I43" s="196">
        <f t="shared" si="11"/>
        <v>9.6328704217334415E-3</v>
      </c>
      <c r="J43" s="195">
        <f t="shared" si="10"/>
        <v>1997</v>
      </c>
      <c r="K43" s="196">
        <f t="shared" si="12"/>
        <v>7.1434073460566678E-3</v>
      </c>
      <c r="L43" s="103"/>
    </row>
    <row r="44" spans="1:12" x14ac:dyDescent="0.25">
      <c r="A44" s="193"/>
      <c r="B44" s="194" t="s">
        <v>125</v>
      </c>
      <c r="C44" s="195">
        <v>103813</v>
      </c>
      <c r="D44" s="195">
        <v>168933</v>
      </c>
      <c r="E44" s="195">
        <v>411305</v>
      </c>
      <c r="F44" s="195">
        <v>424993</v>
      </c>
      <c r="G44" s="195">
        <v>422008</v>
      </c>
      <c r="H44" s="195">
        <v>391900</v>
      </c>
      <c r="I44" s="196">
        <f t="shared" si="11"/>
        <v>-7.1344619059354297E-2</v>
      </c>
      <c r="J44" s="195">
        <f t="shared" si="10"/>
        <v>-30108</v>
      </c>
      <c r="K44" s="196">
        <f t="shared" si="12"/>
        <v>1.33750326739523E-2</v>
      </c>
      <c r="L44" s="103"/>
    </row>
    <row r="45" spans="1:12" x14ac:dyDescent="0.25">
      <c r="A45" s="193"/>
      <c r="B45" s="194" t="s">
        <v>121</v>
      </c>
      <c r="C45" s="195">
        <v>117501</v>
      </c>
      <c r="D45" s="195">
        <v>113228</v>
      </c>
      <c r="E45" s="195">
        <v>253270</v>
      </c>
      <c r="F45" s="195">
        <v>303691</v>
      </c>
      <c r="G45" s="195">
        <v>301431</v>
      </c>
      <c r="H45" s="195">
        <v>274202</v>
      </c>
      <c r="I45" s="196">
        <f t="shared" si="11"/>
        <v>-9.0332447558479356E-2</v>
      </c>
      <c r="J45" s="195">
        <f t="shared" si="10"/>
        <v>-27229</v>
      </c>
      <c r="K45" s="196">
        <f t="shared" si="12"/>
        <v>9.358154399752662E-3</v>
      </c>
      <c r="L45" s="103"/>
    </row>
    <row r="46" spans="1:12" x14ac:dyDescent="0.25">
      <c r="A46" s="193"/>
      <c r="B46" s="194" t="s">
        <v>130</v>
      </c>
      <c r="C46" s="195">
        <v>86006</v>
      </c>
      <c r="D46" s="195">
        <v>33695</v>
      </c>
      <c r="E46" s="195">
        <v>136931</v>
      </c>
      <c r="F46" s="195">
        <v>142670</v>
      </c>
      <c r="G46" s="195">
        <v>137164</v>
      </c>
      <c r="H46" s="195">
        <v>143922</v>
      </c>
      <c r="I46" s="196">
        <f t="shared" si="11"/>
        <v>4.9269487620658525E-2</v>
      </c>
      <c r="J46" s="195">
        <f t="shared" si="10"/>
        <v>6758</v>
      </c>
      <c r="K46" s="196">
        <f t="shared" si="12"/>
        <v>4.9118689780570631E-3</v>
      </c>
      <c r="L46" s="103"/>
    </row>
    <row r="47" spans="1:12" x14ac:dyDescent="0.25">
      <c r="A47" s="193" t="s">
        <v>146</v>
      </c>
      <c r="B47" s="194" t="s">
        <v>133</v>
      </c>
      <c r="C47" s="195">
        <v>141204</v>
      </c>
      <c r="D47" s="195">
        <v>23338</v>
      </c>
      <c r="E47" s="195">
        <v>113789</v>
      </c>
      <c r="F47" s="195">
        <v>145549</v>
      </c>
      <c r="G47" s="195">
        <v>150872</v>
      </c>
      <c r="H47" s="195">
        <v>131483</v>
      </c>
      <c r="I47" s="196">
        <f t="shared" si="11"/>
        <v>-0.12851291160719025</v>
      </c>
      <c r="J47" s="195">
        <f t="shared" si="10"/>
        <v>-19389</v>
      </c>
      <c r="K47" s="196">
        <f t="shared" si="12"/>
        <v>4.4873422328891811E-3</v>
      </c>
      <c r="L47" s="103"/>
    </row>
    <row r="48" spans="1:12" x14ac:dyDescent="0.25">
      <c r="A48" s="193" t="s">
        <v>147</v>
      </c>
      <c r="B48" s="199" t="s">
        <v>147</v>
      </c>
      <c r="C48" s="200">
        <f t="shared" ref="C48" si="13">C40-SUM(C41:C47)</f>
        <v>668470</v>
      </c>
      <c r="D48" s="200">
        <f t="shared" ref="D48:H48" si="14">D40-SUM(D41:D47)</f>
        <v>672486</v>
      </c>
      <c r="E48" s="200">
        <f t="shared" si="14"/>
        <v>1949002</v>
      </c>
      <c r="F48" s="200">
        <f t="shared" si="14"/>
        <v>2136784</v>
      </c>
      <c r="G48" s="200">
        <f t="shared" si="14"/>
        <v>2224014</v>
      </c>
      <c r="H48" s="200">
        <f t="shared" si="14"/>
        <v>2272999</v>
      </c>
      <c r="I48" s="201">
        <f t="shared" si="11"/>
        <v>2.2025490846730333E-2</v>
      </c>
      <c r="J48" s="200">
        <f>H48-G48</f>
        <v>48985</v>
      </c>
      <c r="K48" s="201">
        <f t="shared" si="12"/>
        <v>7.7574472806483552E-2</v>
      </c>
      <c r="L48" s="103"/>
    </row>
    <row r="49" spans="1:12" s="177" customFormat="1" x14ac:dyDescent="0.25">
      <c r="A49" s="193"/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</row>
    <row r="50" spans="1:12" x14ac:dyDescent="0.25">
      <c r="A50" s="193"/>
      <c r="B50" s="187" t="s">
        <v>70</v>
      </c>
      <c r="C50" s="209">
        <v>59506</v>
      </c>
      <c r="D50" s="209">
        <v>67472</v>
      </c>
      <c r="E50" s="209">
        <v>133756</v>
      </c>
      <c r="F50" s="209">
        <v>142013</v>
      </c>
      <c r="G50" s="209">
        <v>160183</v>
      </c>
      <c r="H50" s="209">
        <v>161637</v>
      </c>
      <c r="I50" s="210">
        <f>IFERROR(H50/G50-1,"-")</f>
        <v>9.0771180462345669E-3</v>
      </c>
      <c r="J50" s="209">
        <f>H50-G50</f>
        <v>1454</v>
      </c>
      <c r="K50" s="210">
        <f>H50/H$8</f>
        <v>5.5164586790498286E-3</v>
      </c>
      <c r="L50" s="103"/>
    </row>
    <row r="51" spans="1:12" x14ac:dyDescent="0.25">
      <c r="A51" s="193" t="s">
        <v>98</v>
      </c>
      <c r="B51" s="190" t="s">
        <v>99</v>
      </c>
      <c r="C51" s="191">
        <v>6410</v>
      </c>
      <c r="D51" s="191">
        <v>15419</v>
      </c>
      <c r="E51" s="191">
        <v>15342</v>
      </c>
      <c r="F51" s="191">
        <v>34035</v>
      </c>
      <c r="G51" s="191">
        <v>23076</v>
      </c>
      <c r="H51" s="191">
        <v>23052</v>
      </c>
      <c r="I51" s="192">
        <f>IFERROR(H51/G51-1,"-")</f>
        <v>-1.0400416016640435E-3</v>
      </c>
      <c r="J51" s="191">
        <f t="shared" ref="J51:J61" si="15">H51-G51</f>
        <v>-24</v>
      </c>
      <c r="K51" s="192">
        <f>H51/H$8</f>
        <v>7.8673450676179744E-4</v>
      </c>
      <c r="L51" s="103"/>
    </row>
    <row r="52" spans="1:12" x14ac:dyDescent="0.25">
      <c r="A52" s="193" t="s">
        <v>105</v>
      </c>
      <c r="B52" s="194" t="s">
        <v>105</v>
      </c>
      <c r="C52" s="195">
        <v>4571</v>
      </c>
      <c r="D52" s="195">
        <v>6718</v>
      </c>
      <c r="E52" s="195">
        <v>4619</v>
      </c>
      <c r="F52" s="195">
        <v>22183</v>
      </c>
      <c r="G52" s="195">
        <v>13220</v>
      </c>
      <c r="H52" s="195">
        <v>11930</v>
      </c>
      <c r="I52" s="196">
        <f>IFERROR(H52/G52-1,"-")</f>
        <v>-9.7579425113464402E-2</v>
      </c>
      <c r="J52" s="195">
        <f t="shared" si="15"/>
        <v>-1290</v>
      </c>
      <c r="K52" s="196">
        <f>H52/H$8</f>
        <v>4.0715524317491946E-4</v>
      </c>
      <c r="L52" s="103"/>
    </row>
    <row r="53" spans="1:12" x14ac:dyDescent="0.25">
      <c r="A53" s="193" t="s">
        <v>102</v>
      </c>
      <c r="B53" s="194" t="s">
        <v>102</v>
      </c>
      <c r="C53" s="195">
        <v>1839</v>
      </c>
      <c r="D53" s="195">
        <v>8701</v>
      </c>
      <c r="E53" s="195">
        <v>10723</v>
      </c>
      <c r="F53" s="195">
        <v>11852</v>
      </c>
      <c r="G53" s="195">
        <v>9856</v>
      </c>
      <c r="H53" s="195">
        <v>11122</v>
      </c>
      <c r="I53" s="196">
        <f>IFERROR(H53/G53-1,"-")</f>
        <v>0.12844967532467533</v>
      </c>
      <c r="J53" s="195">
        <f t="shared" si="15"/>
        <v>1266</v>
      </c>
      <c r="K53" s="196">
        <f>H53/H$8</f>
        <v>3.7957926358687797E-4</v>
      </c>
      <c r="L53" s="103"/>
    </row>
    <row r="54" spans="1:12" x14ac:dyDescent="0.25">
      <c r="A54" s="193"/>
      <c r="B54" s="190" t="s">
        <v>109</v>
      </c>
      <c r="C54" s="191">
        <v>53096</v>
      </c>
      <c r="D54" s="191">
        <v>52053</v>
      </c>
      <c r="E54" s="191">
        <v>118414</v>
      </c>
      <c r="F54" s="191">
        <v>107978</v>
      </c>
      <c r="G54" s="191">
        <v>137107</v>
      </c>
      <c r="H54" s="191">
        <v>138585</v>
      </c>
      <c r="I54" s="192">
        <f>IFERROR(H54/G54-1,"-")</f>
        <v>1.0779901828498861E-2</v>
      </c>
      <c r="J54" s="191">
        <f t="shared" si="15"/>
        <v>1478</v>
      </c>
      <c r="K54" s="192">
        <f>H54/H$8</f>
        <v>4.7297241722880313E-3</v>
      </c>
      <c r="L54" s="103"/>
    </row>
    <row r="55" spans="1:12" s="74" customFormat="1" x14ac:dyDescent="0.25">
      <c r="A55" s="193"/>
      <c r="B55" s="194" t="s">
        <v>112</v>
      </c>
      <c r="C55" s="195">
        <v>19218</v>
      </c>
      <c r="D55" s="195">
        <v>11965</v>
      </c>
      <c r="E55" s="195">
        <v>54862</v>
      </c>
      <c r="F55" s="195">
        <v>44985</v>
      </c>
      <c r="G55" s="195">
        <v>58295</v>
      </c>
      <c r="H55" s="195">
        <v>57531</v>
      </c>
      <c r="I55" s="196">
        <f t="shared" ref="I55:I62" si="16">IFERROR(H55/G55-1,"-")</f>
        <v>-1.3105755210566894E-2</v>
      </c>
      <c r="J55" s="195">
        <f t="shared" si="15"/>
        <v>-764</v>
      </c>
      <c r="K55" s="196">
        <f t="shared" ref="K55:K62" si="17">H55/H$8</f>
        <v>1.9634575268312063E-3</v>
      </c>
      <c r="L55" s="197"/>
    </row>
    <row r="56" spans="1:12" s="74" customFormat="1" x14ac:dyDescent="0.25">
      <c r="A56" s="193"/>
      <c r="B56" s="194" t="s">
        <v>115</v>
      </c>
      <c r="C56" s="195">
        <v>15319</v>
      </c>
      <c r="D56" s="195">
        <v>18110</v>
      </c>
      <c r="E56" s="195">
        <v>25954</v>
      </c>
      <c r="F56" s="195">
        <v>22828</v>
      </c>
      <c r="G56" s="195">
        <v>30312</v>
      </c>
      <c r="H56" s="195">
        <v>30872</v>
      </c>
      <c r="I56" s="196">
        <f t="shared" si="16"/>
        <v>1.8474531538664518E-2</v>
      </c>
      <c r="J56" s="195">
        <f t="shared" si="15"/>
        <v>560</v>
      </c>
      <c r="K56" s="196">
        <f t="shared" si="17"/>
        <v>1.0536208438638821E-3</v>
      </c>
      <c r="L56" s="197"/>
    </row>
    <row r="57" spans="1:12" x14ac:dyDescent="0.25">
      <c r="A57" s="193"/>
      <c r="B57" s="194" t="s">
        <v>118</v>
      </c>
      <c r="C57" s="195">
        <v>1415</v>
      </c>
      <c r="D57" s="195">
        <v>3224</v>
      </c>
      <c r="E57" s="195">
        <v>5068</v>
      </c>
      <c r="F57" s="195">
        <v>5554</v>
      </c>
      <c r="G57" s="195">
        <v>5721</v>
      </c>
      <c r="H57" s="195">
        <v>5932</v>
      </c>
      <c r="I57" s="196">
        <f t="shared" si="16"/>
        <v>3.6881664044747353E-2</v>
      </c>
      <c r="J57" s="195">
        <f t="shared" si="15"/>
        <v>211</v>
      </c>
      <c r="K57" s="196">
        <f t="shared" si="17"/>
        <v>2.0245137489636398E-4</v>
      </c>
      <c r="L57" s="103"/>
    </row>
    <row r="58" spans="1:12" x14ac:dyDescent="0.25">
      <c r="A58" s="193"/>
      <c r="B58" s="194" t="s">
        <v>125</v>
      </c>
      <c r="C58" s="195">
        <v>928</v>
      </c>
      <c r="D58" s="195">
        <v>1562</v>
      </c>
      <c r="E58" s="195">
        <v>2463</v>
      </c>
      <c r="F58" s="195">
        <v>1849</v>
      </c>
      <c r="G58" s="195">
        <v>3975</v>
      </c>
      <c r="H58" s="195">
        <v>3971</v>
      </c>
      <c r="I58" s="196">
        <f t="shared" si="16"/>
        <v>-1.0062893081761448E-3</v>
      </c>
      <c r="J58" s="195">
        <f t="shared" si="15"/>
        <v>-4</v>
      </c>
      <c r="K58" s="196">
        <f t="shared" si="17"/>
        <v>1.3552501849518902E-4</v>
      </c>
      <c r="L58" s="103"/>
    </row>
    <row r="59" spans="1:12" x14ac:dyDescent="0.25">
      <c r="A59" s="193"/>
      <c r="B59" s="194" t="s">
        <v>121</v>
      </c>
      <c r="C59" s="195">
        <v>828</v>
      </c>
      <c r="D59" s="195">
        <v>920</v>
      </c>
      <c r="E59" s="195">
        <v>1950</v>
      </c>
      <c r="F59" s="195">
        <v>2073</v>
      </c>
      <c r="G59" s="195">
        <v>2665</v>
      </c>
      <c r="H59" s="195">
        <v>2383</v>
      </c>
      <c r="I59" s="196">
        <f t="shared" si="16"/>
        <v>-0.10581613508442778</v>
      </c>
      <c r="J59" s="195">
        <f t="shared" si="15"/>
        <v>-282</v>
      </c>
      <c r="K59" s="196">
        <f t="shared" si="17"/>
        <v>8.1328662572157002E-5</v>
      </c>
      <c r="L59" s="103"/>
    </row>
    <row r="60" spans="1:12" x14ac:dyDescent="0.25">
      <c r="A60" s="193"/>
      <c r="B60" s="194" t="s">
        <v>130</v>
      </c>
      <c r="C60" s="195">
        <v>713</v>
      </c>
      <c r="D60" s="195">
        <v>244</v>
      </c>
      <c r="E60" s="195">
        <v>315</v>
      </c>
      <c r="F60" s="195">
        <v>603</v>
      </c>
      <c r="G60" s="195">
        <v>460</v>
      </c>
      <c r="H60" s="195">
        <v>703</v>
      </c>
      <c r="I60" s="196">
        <f t="shared" si="16"/>
        <v>0.52826086956521734</v>
      </c>
      <c r="J60" s="195">
        <f t="shared" si="15"/>
        <v>243</v>
      </c>
      <c r="K60" s="196">
        <f t="shared" si="17"/>
        <v>2.3992467389100452E-5</v>
      </c>
      <c r="L60" s="103"/>
    </row>
    <row r="61" spans="1:12" x14ac:dyDescent="0.25">
      <c r="A61" s="193" t="s">
        <v>146</v>
      </c>
      <c r="B61" s="194" t="s">
        <v>133</v>
      </c>
      <c r="C61" s="195">
        <v>1494</v>
      </c>
      <c r="D61" s="195">
        <v>164</v>
      </c>
      <c r="E61" s="195">
        <v>271</v>
      </c>
      <c r="F61" s="195">
        <v>520</v>
      </c>
      <c r="G61" s="195">
        <v>413</v>
      </c>
      <c r="H61" s="195">
        <v>1058</v>
      </c>
      <c r="I61" s="196">
        <f t="shared" si="16"/>
        <v>1.5617433414043584</v>
      </c>
      <c r="J61" s="195">
        <f t="shared" si="15"/>
        <v>645</v>
      </c>
      <c r="K61" s="196">
        <f t="shared" si="17"/>
        <v>3.6108151490282043E-5</v>
      </c>
      <c r="L61" s="103"/>
    </row>
    <row r="62" spans="1:12" x14ac:dyDescent="0.25">
      <c r="A62" s="193" t="s">
        <v>147</v>
      </c>
      <c r="B62" s="199" t="s">
        <v>147</v>
      </c>
      <c r="C62" s="200">
        <f t="shared" ref="C62" si="18">C54-SUM(C55:C61)</f>
        <v>13181</v>
      </c>
      <c r="D62" s="200">
        <f t="shared" ref="D62:H62" si="19">D54-SUM(D55:D61)</f>
        <v>15864</v>
      </c>
      <c r="E62" s="200">
        <f t="shared" si="19"/>
        <v>27531</v>
      </c>
      <c r="F62" s="200">
        <f t="shared" si="19"/>
        <v>29566</v>
      </c>
      <c r="G62" s="200">
        <f t="shared" si="19"/>
        <v>35266</v>
      </c>
      <c r="H62" s="200">
        <f t="shared" si="19"/>
        <v>36135</v>
      </c>
      <c r="I62" s="201">
        <f t="shared" si="16"/>
        <v>2.4641297567061793E-2</v>
      </c>
      <c r="J62" s="200">
        <f>H62-G62</f>
        <v>869</v>
      </c>
      <c r="K62" s="201">
        <f t="shared" si="17"/>
        <v>1.2332401267498502E-3</v>
      </c>
      <c r="L62" s="103"/>
    </row>
    <row r="63" spans="1:12" s="177" customFormat="1" x14ac:dyDescent="0.25">
      <c r="A63" s="193"/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</row>
    <row r="64" spans="1:12" x14ac:dyDescent="0.25">
      <c r="A64" s="193"/>
      <c r="B64" s="187" t="s">
        <v>70</v>
      </c>
      <c r="C64" s="209">
        <v>211025</v>
      </c>
      <c r="D64" s="209">
        <v>281006</v>
      </c>
      <c r="E64" s="209">
        <v>824915</v>
      </c>
      <c r="F64" s="209">
        <v>892817</v>
      </c>
      <c r="G64" s="209">
        <v>1185602</v>
      </c>
      <c r="H64" s="209">
        <v>931355</v>
      </c>
      <c r="I64" s="210">
        <f>IFERROR(H64/G64-1,"-")</f>
        <v>-0.21444548845227995</v>
      </c>
      <c r="J64" s="209">
        <f>H64-G64</f>
        <v>-254247</v>
      </c>
      <c r="K64" s="210">
        <f>H64/H$8</f>
        <v>3.1785923848045024E-2</v>
      </c>
      <c r="L64" s="103"/>
    </row>
    <row r="65" spans="1:12" x14ac:dyDescent="0.25">
      <c r="A65" s="193" t="s">
        <v>98</v>
      </c>
      <c r="B65" s="190" t="s">
        <v>99</v>
      </c>
      <c r="C65" s="191">
        <v>66009</v>
      </c>
      <c r="D65" s="191">
        <v>75404</v>
      </c>
      <c r="E65" s="191">
        <v>110785</v>
      </c>
      <c r="F65" s="191">
        <v>148519</v>
      </c>
      <c r="G65" s="191">
        <v>225043</v>
      </c>
      <c r="H65" s="191">
        <v>159775</v>
      </c>
      <c r="I65" s="192">
        <f>IFERROR(H65/G65-1,"-")</f>
        <v>-0.2900245730815888</v>
      </c>
      <c r="J65" s="191">
        <f t="shared" ref="J65:J75" si="20">H65-G65</f>
        <v>-65268</v>
      </c>
      <c r="K65" s="192">
        <f>H65/H$8</f>
        <v>5.4529110627219409E-3</v>
      </c>
      <c r="L65" s="103"/>
    </row>
    <row r="66" spans="1:12" x14ac:dyDescent="0.25">
      <c r="A66" s="193" t="s">
        <v>105</v>
      </c>
      <c r="B66" s="194" t="s">
        <v>105</v>
      </c>
      <c r="C66" s="195">
        <v>19744</v>
      </c>
      <c r="D66" s="195">
        <v>56319</v>
      </c>
      <c r="E66" s="195">
        <v>71542</v>
      </c>
      <c r="F66" s="195">
        <v>80547</v>
      </c>
      <c r="G66" s="195">
        <v>111383</v>
      </c>
      <c r="H66" s="195">
        <v>36722</v>
      </c>
      <c r="I66" s="196">
        <f>IFERROR(H66/G66-1,"-")</f>
        <v>-0.67030875447779281</v>
      </c>
      <c r="J66" s="195">
        <f t="shared" si="20"/>
        <v>-74661</v>
      </c>
      <c r="K66" s="196">
        <f>H66/H$8</f>
        <v>1.2532736663763112E-3</v>
      </c>
      <c r="L66" s="103"/>
    </row>
    <row r="67" spans="1:12" x14ac:dyDescent="0.25">
      <c r="A67" s="193" t="s">
        <v>102</v>
      </c>
      <c r="B67" s="194" t="s">
        <v>102</v>
      </c>
      <c r="C67" s="195">
        <v>46265</v>
      </c>
      <c r="D67" s="195">
        <v>19085</v>
      </c>
      <c r="E67" s="195">
        <v>39243</v>
      </c>
      <c r="F67" s="195">
        <v>67972</v>
      </c>
      <c r="G67" s="195">
        <v>113660</v>
      </c>
      <c r="H67" s="195">
        <v>123053</v>
      </c>
      <c r="I67" s="196">
        <f>IFERROR(H67/G67-1,"-")</f>
        <v>8.2641210628189299E-2</v>
      </c>
      <c r="J67" s="195">
        <f t="shared" si="20"/>
        <v>9393</v>
      </c>
      <c r="K67" s="196">
        <f>H67/H$8</f>
        <v>4.1996373963456299E-3</v>
      </c>
      <c r="L67" s="103"/>
    </row>
    <row r="68" spans="1:12" x14ac:dyDescent="0.25">
      <c r="A68" s="193"/>
      <c r="B68" s="190" t="s">
        <v>109</v>
      </c>
      <c r="C68" s="191">
        <v>145016</v>
      </c>
      <c r="D68" s="191">
        <v>205602</v>
      </c>
      <c r="E68" s="191">
        <v>714130</v>
      </c>
      <c r="F68" s="191">
        <v>744298</v>
      </c>
      <c r="G68" s="191">
        <v>960559</v>
      </c>
      <c r="H68" s="191">
        <v>771580</v>
      </c>
      <c r="I68" s="192">
        <f>IFERROR(H68/G68-1,"-")</f>
        <v>-0.1967385657726386</v>
      </c>
      <c r="J68" s="191">
        <f t="shared" si="20"/>
        <v>-188979</v>
      </c>
      <c r="K68" s="192">
        <f>H68/H$8</f>
        <v>2.633301278532308E-2</v>
      </c>
      <c r="L68" s="103"/>
    </row>
    <row r="69" spans="1:12" s="74" customFormat="1" x14ac:dyDescent="0.25">
      <c r="A69" s="193"/>
      <c r="B69" s="194" t="s">
        <v>112</v>
      </c>
      <c r="C69" s="195">
        <v>52391</v>
      </c>
      <c r="D69" s="195">
        <v>56640</v>
      </c>
      <c r="E69" s="195">
        <v>339495</v>
      </c>
      <c r="F69" s="195">
        <v>271883</v>
      </c>
      <c r="G69" s="195">
        <v>400639</v>
      </c>
      <c r="H69" s="195">
        <v>383531</v>
      </c>
      <c r="I69" s="196">
        <f t="shared" ref="I69:I76" si="21">IFERROR(H69/G69-1,"-")</f>
        <v>-4.2701783900219392E-2</v>
      </c>
      <c r="J69" s="195">
        <f t="shared" si="20"/>
        <v>-17108</v>
      </c>
      <c r="K69" s="196">
        <f t="shared" ref="K69:K76" si="22">H69/H$8</f>
        <v>1.3089409687352895E-2</v>
      </c>
      <c r="L69" s="197"/>
    </row>
    <row r="70" spans="1:12" s="74" customFormat="1" x14ac:dyDescent="0.25">
      <c r="A70" s="193"/>
      <c r="B70" s="194" t="s">
        <v>115</v>
      </c>
      <c r="C70" s="195">
        <v>21284</v>
      </c>
      <c r="D70" s="195">
        <v>30194</v>
      </c>
      <c r="E70" s="195">
        <v>46059</v>
      </c>
      <c r="F70" s="195">
        <v>62417</v>
      </c>
      <c r="G70" s="195">
        <v>60318</v>
      </c>
      <c r="H70" s="195">
        <v>61326</v>
      </c>
      <c r="I70" s="196">
        <f t="shared" si="21"/>
        <v>1.671142942405246E-2</v>
      </c>
      <c r="J70" s="195">
        <f t="shared" si="20"/>
        <v>1008</v>
      </c>
      <c r="K70" s="196">
        <f t="shared" si="22"/>
        <v>2.0929758963072181E-3</v>
      </c>
      <c r="L70" s="197"/>
    </row>
    <row r="71" spans="1:12" x14ac:dyDescent="0.25">
      <c r="A71" s="193"/>
      <c r="B71" s="194" t="s">
        <v>118</v>
      </c>
      <c r="C71" s="195">
        <v>17911</v>
      </c>
      <c r="D71" s="195">
        <v>23361</v>
      </c>
      <c r="E71" s="195">
        <v>100707</v>
      </c>
      <c r="F71" s="195">
        <v>103020</v>
      </c>
      <c r="G71" s="195">
        <v>123780</v>
      </c>
      <c r="H71" s="195">
        <v>59016</v>
      </c>
      <c r="I71" s="196">
        <f t="shared" si="21"/>
        <v>-0.52321861366941347</v>
      </c>
      <c r="J71" s="195">
        <f t="shared" si="20"/>
        <v>-64764</v>
      </c>
      <c r="K71" s="196">
        <f t="shared" si="22"/>
        <v>2.0141386279305153E-3</v>
      </c>
      <c r="L71" s="103"/>
    </row>
    <row r="72" spans="1:12" x14ac:dyDescent="0.25">
      <c r="A72" s="193"/>
      <c r="B72" s="194" t="s">
        <v>125</v>
      </c>
      <c r="C72" s="195">
        <v>1613</v>
      </c>
      <c r="D72" s="195">
        <v>14220</v>
      </c>
      <c r="E72" s="195">
        <v>19610</v>
      </c>
      <c r="F72" s="195">
        <v>22196</v>
      </c>
      <c r="G72" s="195">
        <v>41464</v>
      </c>
      <c r="H72" s="195">
        <v>33700</v>
      </c>
      <c r="I72" s="196">
        <f t="shared" si="21"/>
        <v>-0.18724676828091835</v>
      </c>
      <c r="J72" s="195">
        <f t="shared" si="20"/>
        <v>-7764</v>
      </c>
      <c r="K72" s="196">
        <f t="shared" si="22"/>
        <v>1.1501367724220273E-3</v>
      </c>
      <c r="L72" s="103"/>
    </row>
    <row r="73" spans="1:12" x14ac:dyDescent="0.25">
      <c r="A73" s="193"/>
      <c r="B73" s="194" t="s">
        <v>121</v>
      </c>
      <c r="C73" s="195">
        <v>5937</v>
      </c>
      <c r="D73" s="195">
        <v>13150</v>
      </c>
      <c r="E73" s="195">
        <v>19219</v>
      </c>
      <c r="F73" s="195">
        <v>16032</v>
      </c>
      <c r="G73" s="195">
        <v>23981</v>
      </c>
      <c r="H73" s="195">
        <v>15882</v>
      </c>
      <c r="I73" s="196">
        <f t="shared" si="21"/>
        <v>-0.33772569951211373</v>
      </c>
      <c r="J73" s="195">
        <f t="shared" si="20"/>
        <v>-8099</v>
      </c>
      <c r="K73" s="196">
        <f t="shared" si="22"/>
        <v>5.4203181660553818E-4</v>
      </c>
      <c r="L73" s="103"/>
    </row>
    <row r="74" spans="1:12" x14ac:dyDescent="0.25">
      <c r="A74" s="193"/>
      <c r="B74" s="194" t="s">
        <v>130</v>
      </c>
      <c r="C74" s="195">
        <v>5454</v>
      </c>
      <c r="D74" s="195">
        <v>684</v>
      </c>
      <c r="E74" s="195">
        <v>10053</v>
      </c>
      <c r="F74" s="195">
        <v>24512</v>
      </c>
      <c r="G74" s="195">
        <v>19261</v>
      </c>
      <c r="H74" s="195">
        <v>12833</v>
      </c>
      <c r="I74" s="196">
        <f t="shared" si="21"/>
        <v>-0.3337313742796324</v>
      </c>
      <c r="J74" s="195">
        <f t="shared" si="20"/>
        <v>-6428</v>
      </c>
      <c r="K74" s="196">
        <f t="shared" si="22"/>
        <v>4.3797344808581235E-4</v>
      </c>
      <c r="L74" s="103"/>
    </row>
    <row r="75" spans="1:12" x14ac:dyDescent="0.25">
      <c r="A75" s="193" t="s">
        <v>146</v>
      </c>
      <c r="B75" s="194" t="s">
        <v>133</v>
      </c>
      <c r="C75" s="195">
        <v>4802</v>
      </c>
      <c r="D75" s="195">
        <v>210</v>
      </c>
      <c r="E75" s="195">
        <v>3088</v>
      </c>
      <c r="F75" s="195">
        <v>7254</v>
      </c>
      <c r="G75" s="195">
        <v>13134</v>
      </c>
      <c r="H75" s="195">
        <v>16739</v>
      </c>
      <c r="I75" s="196">
        <f t="shared" si="21"/>
        <v>0.27447845287041273</v>
      </c>
      <c r="J75" s="195">
        <f t="shared" si="20"/>
        <v>3605</v>
      </c>
      <c r="K75" s="196">
        <f t="shared" si="22"/>
        <v>5.7128010188641886E-4</v>
      </c>
      <c r="L75" s="103"/>
    </row>
    <row r="76" spans="1:12" x14ac:dyDescent="0.25">
      <c r="A76" s="193" t="s">
        <v>147</v>
      </c>
      <c r="B76" s="199" t="s">
        <v>147</v>
      </c>
      <c r="C76" s="200">
        <f t="shared" ref="C76" si="23">C68-SUM(C69:C75)</f>
        <v>35624</v>
      </c>
      <c r="D76" s="200">
        <f t="shared" ref="D76:H76" si="24">D68-SUM(D69:D75)</f>
        <v>67143</v>
      </c>
      <c r="E76" s="200">
        <f t="shared" si="24"/>
        <v>175899</v>
      </c>
      <c r="F76" s="200">
        <f t="shared" si="24"/>
        <v>236984</v>
      </c>
      <c r="G76" s="200">
        <f t="shared" si="24"/>
        <v>277982</v>
      </c>
      <c r="H76" s="200">
        <f t="shared" si="24"/>
        <v>188553</v>
      </c>
      <c r="I76" s="201">
        <f t="shared" si="21"/>
        <v>-0.32170788036635467</v>
      </c>
      <c r="J76" s="200">
        <f>H76-G76</f>
        <v>-89429</v>
      </c>
      <c r="K76" s="201">
        <f t="shared" si="22"/>
        <v>6.4350664347326558E-3</v>
      </c>
      <c r="L76" s="103"/>
    </row>
    <row r="77" spans="1:12" s="177" customFormat="1" x14ac:dyDescent="0.25">
      <c r="A77" s="193"/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</row>
    <row r="78" spans="1:12" x14ac:dyDescent="0.25">
      <c r="A78" s="193"/>
      <c r="B78" s="187" t="s">
        <v>70</v>
      </c>
      <c r="C78" s="209">
        <v>1394761</v>
      </c>
      <c r="D78" s="209">
        <v>1380163</v>
      </c>
      <c r="E78" s="209">
        <v>3540445</v>
      </c>
      <c r="F78" s="209">
        <v>4226384</v>
      </c>
      <c r="G78" s="209">
        <v>4800011</v>
      </c>
      <c r="H78" s="209">
        <v>4746151</v>
      </c>
      <c r="I78" s="210">
        <f>IFERROR(H78/G78-1,"-")</f>
        <v>-1.1220807618982587E-2</v>
      </c>
      <c r="J78" s="209">
        <f>H78-G78</f>
        <v>-53860</v>
      </c>
      <c r="K78" s="210">
        <f>H78/H$8</f>
        <v>0.16197990482396371</v>
      </c>
      <c r="L78" s="103"/>
    </row>
    <row r="79" spans="1:12" x14ac:dyDescent="0.25">
      <c r="A79" s="193" t="s">
        <v>98</v>
      </c>
      <c r="B79" s="190" t="s">
        <v>99</v>
      </c>
      <c r="C79" s="191">
        <v>407148</v>
      </c>
      <c r="D79" s="191">
        <v>643478</v>
      </c>
      <c r="E79" s="191">
        <v>1438330</v>
      </c>
      <c r="F79" s="191">
        <v>1476085</v>
      </c>
      <c r="G79" s="191">
        <v>1483539</v>
      </c>
      <c r="H79" s="191">
        <v>1520588</v>
      </c>
      <c r="I79" s="192">
        <f>IFERROR(H79/G79-1,"-")</f>
        <v>2.4973391329786487E-2</v>
      </c>
      <c r="J79" s="191">
        <f t="shared" ref="J79:J89" si="25">H79-G79</f>
        <v>37049</v>
      </c>
      <c r="K79" s="192">
        <f>H79/H$8</f>
        <v>5.1895672833936667E-2</v>
      </c>
      <c r="L79" s="103"/>
    </row>
    <row r="80" spans="1:12" x14ac:dyDescent="0.25">
      <c r="A80" s="193" t="s">
        <v>105</v>
      </c>
      <c r="B80" s="194" t="s">
        <v>105</v>
      </c>
      <c r="C80" s="195">
        <v>51462</v>
      </c>
      <c r="D80" s="195">
        <v>154856</v>
      </c>
      <c r="E80" s="195">
        <v>219274</v>
      </c>
      <c r="F80" s="195">
        <v>231889</v>
      </c>
      <c r="G80" s="195">
        <v>254370</v>
      </c>
      <c r="H80" s="195">
        <v>211889</v>
      </c>
      <c r="I80" s="196">
        <f>IFERROR(H80/G80-1,"-")</f>
        <v>-0.16700475685025751</v>
      </c>
      <c r="J80" s="195">
        <f t="shared" si="25"/>
        <v>-42481</v>
      </c>
      <c r="K80" s="196">
        <f>H80/H$8</f>
        <v>7.2314934887753989E-3</v>
      </c>
      <c r="L80" s="103"/>
    </row>
    <row r="81" spans="1:12" x14ac:dyDescent="0.25">
      <c r="A81" s="193" t="s">
        <v>102</v>
      </c>
      <c r="B81" s="194" t="s">
        <v>102</v>
      </c>
      <c r="C81" s="195">
        <v>355686</v>
      </c>
      <c r="D81" s="195">
        <v>488622</v>
      </c>
      <c r="E81" s="195">
        <v>1219056</v>
      </c>
      <c r="F81" s="195">
        <v>1244196</v>
      </c>
      <c r="G81" s="195">
        <v>1229169</v>
      </c>
      <c r="H81" s="195">
        <v>1308699</v>
      </c>
      <c r="I81" s="196">
        <f>IFERROR(H81/G81-1,"-")</f>
        <v>6.4702250056745569E-2</v>
      </c>
      <c r="J81" s="195">
        <f t="shared" si="25"/>
        <v>79530</v>
      </c>
      <c r="K81" s="196">
        <f>H81/H$8</f>
        <v>4.4664179345161266E-2</v>
      </c>
      <c r="L81" s="103"/>
    </row>
    <row r="82" spans="1:12" x14ac:dyDescent="0.25">
      <c r="A82" s="193"/>
      <c r="B82" s="190" t="s">
        <v>109</v>
      </c>
      <c r="C82" s="191">
        <v>987613</v>
      </c>
      <c r="D82" s="191">
        <v>736685</v>
      </c>
      <c r="E82" s="191">
        <v>2102115</v>
      </c>
      <c r="F82" s="191">
        <v>2750299</v>
      </c>
      <c r="G82" s="191">
        <v>3316472</v>
      </c>
      <c r="H82" s="191">
        <v>3225563</v>
      </c>
      <c r="I82" s="192">
        <f>IFERROR(H82/G82-1,"-")</f>
        <v>-2.7411357611341169E-2</v>
      </c>
      <c r="J82" s="191">
        <f t="shared" si="25"/>
        <v>-90909</v>
      </c>
      <c r="K82" s="192">
        <f>H82/H$8</f>
        <v>0.11008423199002705</v>
      </c>
      <c r="L82" s="103"/>
    </row>
    <row r="83" spans="1:12" s="74" customFormat="1" x14ac:dyDescent="0.25">
      <c r="A83" s="193"/>
      <c r="B83" s="194" t="s">
        <v>112</v>
      </c>
      <c r="C83" s="195">
        <v>143645</v>
      </c>
      <c r="D83" s="195">
        <v>68673</v>
      </c>
      <c r="E83" s="195">
        <v>410915</v>
      </c>
      <c r="F83" s="195">
        <v>542908</v>
      </c>
      <c r="G83" s="195">
        <v>659100</v>
      </c>
      <c r="H83" s="195">
        <v>655797</v>
      </c>
      <c r="I83" s="196">
        <f t="shared" ref="I83:I90" si="26">IFERROR(H83/G83-1,"-")</f>
        <v>-5.0113791533910046E-3</v>
      </c>
      <c r="J83" s="195">
        <f t="shared" si="25"/>
        <v>-3303</v>
      </c>
      <c r="K83" s="196">
        <f t="shared" ref="K83:K90" si="27">H83/H$8</f>
        <v>2.2381490947894607E-2</v>
      </c>
      <c r="L83" s="197"/>
    </row>
    <row r="84" spans="1:12" s="74" customFormat="1" x14ac:dyDescent="0.25">
      <c r="A84" s="193"/>
      <c r="B84" s="194" t="s">
        <v>115</v>
      </c>
      <c r="C84" s="195">
        <v>409095</v>
      </c>
      <c r="D84" s="195">
        <v>264519</v>
      </c>
      <c r="E84" s="195">
        <v>770353</v>
      </c>
      <c r="F84" s="195">
        <v>927884</v>
      </c>
      <c r="G84" s="195">
        <v>1085325</v>
      </c>
      <c r="H84" s="195">
        <v>1009277</v>
      </c>
      <c r="I84" s="196">
        <f t="shared" si="26"/>
        <v>-7.0069334070439693E-2</v>
      </c>
      <c r="J84" s="195">
        <f t="shared" si="25"/>
        <v>-76048</v>
      </c>
      <c r="K84" s="196">
        <f t="shared" si="27"/>
        <v>3.4445299443910574E-2</v>
      </c>
      <c r="L84" s="197"/>
    </row>
    <row r="85" spans="1:12" x14ac:dyDescent="0.25">
      <c r="A85" s="193"/>
      <c r="B85" s="194" t="s">
        <v>118</v>
      </c>
      <c r="C85" s="195">
        <v>45538</v>
      </c>
      <c r="D85" s="195">
        <v>79545</v>
      </c>
      <c r="E85" s="195">
        <v>149520</v>
      </c>
      <c r="F85" s="195">
        <v>229021</v>
      </c>
      <c r="G85" s="195">
        <v>333977</v>
      </c>
      <c r="H85" s="195">
        <v>332525</v>
      </c>
      <c r="I85" s="196">
        <f t="shared" si="26"/>
        <v>-4.347604775179148E-3</v>
      </c>
      <c r="J85" s="195">
        <f t="shared" si="25"/>
        <v>-1452</v>
      </c>
      <c r="K85" s="196">
        <f t="shared" si="27"/>
        <v>1.1348641847170167E-2</v>
      </c>
      <c r="L85" s="103"/>
    </row>
    <row r="86" spans="1:12" x14ac:dyDescent="0.25">
      <c r="A86" s="193"/>
      <c r="B86" s="194" t="s">
        <v>125</v>
      </c>
      <c r="C86" s="195">
        <v>12980</v>
      </c>
      <c r="D86" s="195">
        <v>24389</v>
      </c>
      <c r="E86" s="195">
        <v>61673</v>
      </c>
      <c r="F86" s="195">
        <v>74728</v>
      </c>
      <c r="G86" s="195">
        <v>113006</v>
      </c>
      <c r="H86" s="195">
        <v>102096</v>
      </c>
      <c r="I86" s="196">
        <f t="shared" si="26"/>
        <v>-9.6543546360370214E-2</v>
      </c>
      <c r="J86" s="195">
        <f t="shared" si="25"/>
        <v>-10910</v>
      </c>
      <c r="K86" s="196">
        <f t="shared" si="27"/>
        <v>3.4844024901246082E-3</v>
      </c>
      <c r="L86" s="103"/>
    </row>
    <row r="87" spans="1:12" x14ac:dyDescent="0.25">
      <c r="A87" s="193"/>
      <c r="B87" s="194" t="s">
        <v>121</v>
      </c>
      <c r="C87" s="195">
        <v>13733</v>
      </c>
      <c r="D87" s="195">
        <v>23346</v>
      </c>
      <c r="E87" s="195">
        <v>26694</v>
      </c>
      <c r="F87" s="195">
        <v>37999</v>
      </c>
      <c r="G87" s="195">
        <v>49600</v>
      </c>
      <c r="H87" s="195">
        <v>53075</v>
      </c>
      <c r="I87" s="196">
        <f t="shared" si="26"/>
        <v>7.0060483870967749E-2</v>
      </c>
      <c r="J87" s="195">
        <f t="shared" si="25"/>
        <v>3475</v>
      </c>
      <c r="K87" s="196">
        <f t="shared" si="27"/>
        <v>1.8113800948456706E-3</v>
      </c>
      <c r="L87" s="103"/>
    </row>
    <row r="88" spans="1:12" x14ac:dyDescent="0.25">
      <c r="A88" s="193"/>
      <c r="B88" s="194" t="s">
        <v>130</v>
      </c>
      <c r="C88" s="195">
        <v>30309</v>
      </c>
      <c r="D88" s="195">
        <v>6449</v>
      </c>
      <c r="E88" s="195">
        <v>41850</v>
      </c>
      <c r="F88" s="195">
        <v>54825</v>
      </c>
      <c r="G88" s="195">
        <v>51168</v>
      </c>
      <c r="H88" s="195">
        <v>54860</v>
      </c>
      <c r="I88" s="196">
        <f t="shared" si="26"/>
        <v>7.2154471544715548E-2</v>
      </c>
      <c r="J88" s="195">
        <f t="shared" si="25"/>
        <v>3692</v>
      </c>
      <c r="K88" s="196">
        <f t="shared" si="27"/>
        <v>1.8722998022276682E-3</v>
      </c>
      <c r="L88" s="103"/>
    </row>
    <row r="89" spans="1:12" x14ac:dyDescent="0.25">
      <c r="A89" s="193" t="s">
        <v>146</v>
      </c>
      <c r="B89" s="194" t="s">
        <v>133</v>
      </c>
      <c r="C89" s="195">
        <v>49079</v>
      </c>
      <c r="D89" s="195">
        <v>6329</v>
      </c>
      <c r="E89" s="195">
        <v>35470</v>
      </c>
      <c r="F89" s="195">
        <v>54870</v>
      </c>
      <c r="G89" s="195">
        <v>56994</v>
      </c>
      <c r="H89" s="195">
        <v>44304</v>
      </c>
      <c r="I89" s="196">
        <f t="shared" si="26"/>
        <v>-0.22265501631750706</v>
      </c>
      <c r="J89" s="195">
        <f t="shared" si="25"/>
        <v>-12690</v>
      </c>
      <c r="K89" s="196">
        <f t="shared" si="27"/>
        <v>1.5120373758274628E-3</v>
      </c>
      <c r="L89" s="103"/>
    </row>
    <row r="90" spans="1:12" x14ac:dyDescent="0.25">
      <c r="A90" s="193" t="s">
        <v>147</v>
      </c>
      <c r="B90" s="199" t="s">
        <v>147</v>
      </c>
      <c r="C90" s="200">
        <f t="shared" ref="C90" si="28">C82-SUM(C83:C89)</f>
        <v>283234</v>
      </c>
      <c r="D90" s="200">
        <f t="shared" ref="D90:H90" si="29">D82-SUM(D83:D89)</f>
        <v>263435</v>
      </c>
      <c r="E90" s="200">
        <f t="shared" si="29"/>
        <v>605640</v>
      </c>
      <c r="F90" s="200">
        <f t="shared" si="29"/>
        <v>828064</v>
      </c>
      <c r="G90" s="200">
        <f t="shared" si="29"/>
        <v>967302</v>
      </c>
      <c r="H90" s="200">
        <f t="shared" si="29"/>
        <v>973629</v>
      </c>
      <c r="I90" s="201">
        <f t="shared" si="26"/>
        <v>6.5408734810845637E-3</v>
      </c>
      <c r="J90" s="200">
        <f>H90-G90</f>
        <v>6327</v>
      </c>
      <c r="K90" s="201">
        <f t="shared" si="27"/>
        <v>3.322867998802629E-2</v>
      </c>
      <c r="L90" s="103"/>
    </row>
    <row r="91" spans="1:12" s="177" customFormat="1" x14ac:dyDescent="0.25">
      <c r="A91" s="193"/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</row>
    <row r="92" spans="1:12" x14ac:dyDescent="0.25">
      <c r="A92" s="193"/>
      <c r="B92" s="187" t="s">
        <v>70</v>
      </c>
      <c r="C92" s="209">
        <v>47970</v>
      </c>
      <c r="D92" s="209">
        <v>60016</v>
      </c>
      <c r="E92" s="209">
        <v>112590</v>
      </c>
      <c r="F92" s="209">
        <v>123254</v>
      </c>
      <c r="G92" s="209">
        <v>124009</v>
      </c>
      <c r="H92" s="209">
        <v>125599</v>
      </c>
      <c r="I92" s="210">
        <f>IFERROR(H92/G92-1,"-")</f>
        <v>1.2821650041529242E-2</v>
      </c>
      <c r="J92" s="209">
        <f>H92-G92</f>
        <v>1590</v>
      </c>
      <c r="K92" s="210">
        <f>H92/H$8</f>
        <v>4.2865290349980477E-3</v>
      </c>
      <c r="L92" s="103"/>
    </row>
    <row r="93" spans="1:12" x14ac:dyDescent="0.25">
      <c r="A93" s="193" t="s">
        <v>98</v>
      </c>
      <c r="B93" s="190" t="s">
        <v>99</v>
      </c>
      <c r="C93" s="191">
        <v>24250</v>
      </c>
      <c r="D93" s="191">
        <v>31324</v>
      </c>
      <c r="E93" s="191">
        <v>58913</v>
      </c>
      <c r="F93" s="191">
        <v>63184</v>
      </c>
      <c r="G93" s="191">
        <v>57440</v>
      </c>
      <c r="H93" s="191">
        <v>62510</v>
      </c>
      <c r="I93" s="192">
        <f>IFERROR(H93/G93-1,"-")</f>
        <v>8.8266016713091977E-2</v>
      </c>
      <c r="J93" s="191">
        <f t="shared" ref="J93:J103" si="30">H93-G93</f>
        <v>5070</v>
      </c>
      <c r="K93" s="192">
        <f>H93/H$8</f>
        <v>2.1333842624362293E-3</v>
      </c>
      <c r="L93" s="103"/>
    </row>
    <row r="94" spans="1:12" x14ac:dyDescent="0.25">
      <c r="A94" s="193" t="s">
        <v>105</v>
      </c>
      <c r="B94" s="194" t="s">
        <v>105</v>
      </c>
      <c r="C94" s="195">
        <v>10910</v>
      </c>
      <c r="D94" s="195">
        <v>15226</v>
      </c>
      <c r="E94" s="195">
        <v>24660</v>
      </c>
      <c r="F94" s="195">
        <v>16617</v>
      </c>
      <c r="G94" s="195">
        <v>15955</v>
      </c>
      <c r="H94" s="195">
        <v>22048</v>
      </c>
      <c r="I94" s="196">
        <f>IFERROR(H94/G94-1,"-")</f>
        <v>0.38188655593857734</v>
      </c>
      <c r="J94" s="195">
        <f t="shared" si="30"/>
        <v>6093</v>
      </c>
      <c r="K94" s="196">
        <f>H94/H$8</f>
        <v>7.5246930440239931E-4</v>
      </c>
      <c r="L94" s="103"/>
    </row>
    <row r="95" spans="1:12" x14ac:dyDescent="0.25">
      <c r="A95" s="193" t="s">
        <v>102</v>
      </c>
      <c r="B95" s="194" t="s">
        <v>102</v>
      </c>
      <c r="C95" s="195">
        <v>13340</v>
      </c>
      <c r="D95" s="195">
        <v>16098</v>
      </c>
      <c r="E95" s="195">
        <v>34253</v>
      </c>
      <c r="F95" s="195">
        <v>46567</v>
      </c>
      <c r="G95" s="195">
        <v>41485</v>
      </c>
      <c r="H95" s="195">
        <v>40462</v>
      </c>
      <c r="I95" s="196">
        <f>IFERROR(H95/G95-1,"-")</f>
        <v>-2.4659515487525652E-2</v>
      </c>
      <c r="J95" s="195">
        <f t="shared" si="30"/>
        <v>-1023</v>
      </c>
      <c r="K95" s="196">
        <f>H95/H$8</f>
        <v>1.38091495803383E-3</v>
      </c>
      <c r="L95" s="103"/>
    </row>
    <row r="96" spans="1:12" x14ac:dyDescent="0.25">
      <c r="A96" s="193"/>
      <c r="B96" s="190" t="s">
        <v>109</v>
      </c>
      <c r="C96" s="191">
        <v>23720</v>
      </c>
      <c r="D96" s="191">
        <v>28692</v>
      </c>
      <c r="E96" s="191">
        <v>53677</v>
      </c>
      <c r="F96" s="191">
        <v>60070</v>
      </c>
      <c r="G96" s="191">
        <v>66569</v>
      </c>
      <c r="H96" s="191">
        <v>63089</v>
      </c>
      <c r="I96" s="192">
        <f>IFERROR(H96/G96-1,"-")</f>
        <v>-5.2276585197314041E-2</v>
      </c>
      <c r="J96" s="191">
        <f t="shared" si="30"/>
        <v>-3480</v>
      </c>
      <c r="K96" s="192">
        <f>H96/H$8</f>
        <v>2.1531447725618184E-3</v>
      </c>
      <c r="L96" s="103"/>
    </row>
    <row r="97" spans="1:12" s="74" customFormat="1" x14ac:dyDescent="0.25">
      <c r="A97" s="193"/>
      <c r="B97" s="194" t="s">
        <v>112</v>
      </c>
      <c r="C97" s="195">
        <v>4639</v>
      </c>
      <c r="D97" s="195">
        <v>1978</v>
      </c>
      <c r="E97" s="195">
        <v>7354</v>
      </c>
      <c r="F97" s="195">
        <v>9095</v>
      </c>
      <c r="G97" s="195">
        <v>10362</v>
      </c>
      <c r="H97" s="195">
        <v>7925</v>
      </c>
      <c r="I97" s="196">
        <f t="shared" ref="I97:I104" si="31">IFERROR(H97/G97-1,"-")</f>
        <v>-0.23518625747925115</v>
      </c>
      <c r="J97" s="195">
        <f t="shared" si="30"/>
        <v>-2437</v>
      </c>
      <c r="K97" s="196">
        <f t="shared" ref="K97:K104" si="32">H97/H$8</f>
        <v>2.7046984930102568E-4</v>
      </c>
      <c r="L97" s="197"/>
    </row>
    <row r="98" spans="1:12" s="74" customFormat="1" x14ac:dyDescent="0.25">
      <c r="A98" s="193"/>
      <c r="B98" s="194" t="s">
        <v>115</v>
      </c>
      <c r="C98" s="195">
        <v>6968</v>
      </c>
      <c r="D98" s="195">
        <v>10751</v>
      </c>
      <c r="E98" s="195">
        <v>16794</v>
      </c>
      <c r="F98" s="195">
        <v>17695</v>
      </c>
      <c r="G98" s="195">
        <v>19667</v>
      </c>
      <c r="H98" s="195">
        <v>17889</v>
      </c>
      <c r="I98" s="196">
        <f t="shared" si="31"/>
        <v>-9.0405247368688713E-2</v>
      </c>
      <c r="J98" s="195">
        <f t="shared" si="30"/>
        <v>-1778</v>
      </c>
      <c r="K98" s="196">
        <f t="shared" si="32"/>
        <v>6.1052809263672538E-4</v>
      </c>
      <c r="L98" s="197"/>
    </row>
    <row r="99" spans="1:12" x14ac:dyDescent="0.25">
      <c r="A99" s="193"/>
      <c r="B99" s="194" t="s">
        <v>118</v>
      </c>
      <c r="C99" s="195">
        <v>3938</v>
      </c>
      <c r="D99" s="195">
        <v>5645</v>
      </c>
      <c r="E99" s="195">
        <v>6488</v>
      </c>
      <c r="F99" s="195">
        <v>7083</v>
      </c>
      <c r="G99" s="195">
        <v>8264</v>
      </c>
      <c r="H99" s="195">
        <v>7937</v>
      </c>
      <c r="I99" s="196">
        <f t="shared" si="31"/>
        <v>-3.9569215876089081E-2</v>
      </c>
      <c r="J99" s="195">
        <f t="shared" si="30"/>
        <v>-327</v>
      </c>
      <c r="K99" s="196">
        <f t="shared" si="32"/>
        <v>2.7087939355233327E-4</v>
      </c>
      <c r="L99" s="103"/>
    </row>
    <row r="100" spans="1:12" x14ac:dyDescent="0.25">
      <c r="A100" s="193"/>
      <c r="B100" s="194" t="s">
        <v>125</v>
      </c>
      <c r="C100" s="195">
        <v>869</v>
      </c>
      <c r="D100" s="195">
        <v>720</v>
      </c>
      <c r="E100" s="195">
        <v>3894</v>
      </c>
      <c r="F100" s="195">
        <v>2936</v>
      </c>
      <c r="G100" s="195">
        <v>3317</v>
      </c>
      <c r="H100" s="195">
        <v>2291</v>
      </c>
      <c r="I100" s="196">
        <f t="shared" si="31"/>
        <v>-0.3093156466686765</v>
      </c>
      <c r="J100" s="195">
        <f t="shared" si="30"/>
        <v>-1026</v>
      </c>
      <c r="K100" s="196">
        <f t="shared" si="32"/>
        <v>7.8188823312132477E-5</v>
      </c>
      <c r="L100" s="103"/>
    </row>
    <row r="101" spans="1:12" x14ac:dyDescent="0.25">
      <c r="A101" s="193"/>
      <c r="B101" s="194" t="s">
        <v>121</v>
      </c>
      <c r="C101" s="195">
        <v>574</v>
      </c>
      <c r="D101" s="195">
        <v>829</v>
      </c>
      <c r="E101" s="195">
        <v>1623</v>
      </c>
      <c r="F101" s="195">
        <v>1339</v>
      </c>
      <c r="G101" s="195">
        <v>1849</v>
      </c>
      <c r="H101" s="195">
        <v>2298</v>
      </c>
      <c r="I101" s="196">
        <f t="shared" si="31"/>
        <v>0.24283396430502968</v>
      </c>
      <c r="J101" s="195">
        <f t="shared" si="30"/>
        <v>449</v>
      </c>
      <c r="K101" s="196">
        <f t="shared" si="32"/>
        <v>7.8427724125395212E-5</v>
      </c>
      <c r="L101" s="103"/>
    </row>
    <row r="102" spans="1:12" x14ac:dyDescent="0.25">
      <c r="A102" s="193"/>
      <c r="B102" s="194" t="s">
        <v>130</v>
      </c>
      <c r="C102" s="195">
        <v>568</v>
      </c>
      <c r="D102" s="195">
        <v>141</v>
      </c>
      <c r="E102" s="195">
        <v>676</v>
      </c>
      <c r="F102" s="195">
        <v>304</v>
      </c>
      <c r="G102" s="195">
        <v>656</v>
      </c>
      <c r="H102" s="195">
        <v>387</v>
      </c>
      <c r="I102" s="196">
        <f t="shared" si="31"/>
        <v>-0.41006097560975607</v>
      </c>
      <c r="J102" s="195">
        <f t="shared" si="30"/>
        <v>-269</v>
      </c>
      <c r="K102" s="196">
        <f t="shared" si="32"/>
        <v>1.3207802104668384E-5</v>
      </c>
      <c r="L102" s="103"/>
    </row>
    <row r="103" spans="1:12" x14ac:dyDescent="0.25">
      <c r="A103" s="193" t="s">
        <v>146</v>
      </c>
      <c r="B103" s="194" t="s">
        <v>133</v>
      </c>
      <c r="C103" s="195">
        <v>225</v>
      </c>
      <c r="D103" s="195">
        <v>172</v>
      </c>
      <c r="E103" s="195">
        <v>267</v>
      </c>
      <c r="F103" s="195">
        <v>706</v>
      </c>
      <c r="G103" s="195">
        <v>993</v>
      </c>
      <c r="H103" s="195">
        <v>550</v>
      </c>
      <c r="I103" s="196">
        <f t="shared" si="31"/>
        <v>-0.44612286002014101</v>
      </c>
      <c r="J103" s="195">
        <f t="shared" si="30"/>
        <v>-443</v>
      </c>
      <c r="K103" s="196">
        <f t="shared" si="32"/>
        <v>1.877077818492923E-5</v>
      </c>
      <c r="L103" s="103"/>
    </row>
    <row r="104" spans="1:12" x14ac:dyDescent="0.25">
      <c r="A104" s="193" t="s">
        <v>147</v>
      </c>
      <c r="B104" s="199" t="s">
        <v>147</v>
      </c>
      <c r="C104" s="200">
        <f t="shared" ref="C104" si="33">C96-SUM(C97:C103)</f>
        <v>5939</v>
      </c>
      <c r="D104" s="200">
        <f t="shared" ref="D104:H104" si="34">D96-SUM(D97:D103)</f>
        <v>8456</v>
      </c>
      <c r="E104" s="200">
        <f t="shared" si="34"/>
        <v>16581</v>
      </c>
      <c r="F104" s="200">
        <f t="shared" si="34"/>
        <v>20912</v>
      </c>
      <c r="G104" s="200">
        <f t="shared" si="34"/>
        <v>21461</v>
      </c>
      <c r="H104" s="200">
        <f t="shared" si="34"/>
        <v>23812</v>
      </c>
      <c r="I104" s="201">
        <f t="shared" si="31"/>
        <v>0.10954755137225658</v>
      </c>
      <c r="J104" s="200">
        <f>H104-G104</f>
        <v>2351</v>
      </c>
      <c r="K104" s="201">
        <f t="shared" si="32"/>
        <v>8.126723093446087E-4</v>
      </c>
      <c r="L104" s="103"/>
    </row>
    <row r="105" spans="1:12" s="177" customFormat="1" x14ac:dyDescent="0.25">
      <c r="A105" s="193"/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</row>
    <row r="106" spans="1:12" x14ac:dyDescent="0.25">
      <c r="A106" s="193"/>
      <c r="B106" s="187" t="s">
        <v>70</v>
      </c>
      <c r="C106" s="209">
        <v>370665</v>
      </c>
      <c r="D106" s="209">
        <v>560773</v>
      </c>
      <c r="E106" s="209">
        <v>1093304</v>
      </c>
      <c r="F106" s="209">
        <v>1210630</v>
      </c>
      <c r="G106" s="209">
        <v>1245782</v>
      </c>
      <c r="H106" s="209">
        <v>1208728</v>
      </c>
      <c r="I106" s="210">
        <f>IFERROR(H106/G106-1,"-")</f>
        <v>-2.9743566691443624E-2</v>
      </c>
      <c r="J106" s="209">
        <f>H106-G106</f>
        <v>-37054</v>
      </c>
      <c r="K106" s="210">
        <f>H106/H$8</f>
        <v>4.1252300316205706E-2</v>
      </c>
      <c r="L106" s="103"/>
    </row>
    <row r="107" spans="1:12" x14ac:dyDescent="0.25">
      <c r="A107" s="193" t="s">
        <v>98</v>
      </c>
      <c r="B107" s="190" t="s">
        <v>99</v>
      </c>
      <c r="C107" s="191">
        <v>112563</v>
      </c>
      <c r="D107" s="191">
        <v>171898</v>
      </c>
      <c r="E107" s="191">
        <v>170955</v>
      </c>
      <c r="F107" s="191">
        <v>192212</v>
      </c>
      <c r="G107" s="191">
        <v>184519</v>
      </c>
      <c r="H107" s="191">
        <v>193834</v>
      </c>
      <c r="I107" s="192">
        <f>IFERROR(H107/G107-1,"-")</f>
        <v>5.0482606127282281E-2</v>
      </c>
      <c r="J107" s="191">
        <f t="shared" ref="J107:J117" si="35">H107-G107</f>
        <v>9315</v>
      </c>
      <c r="K107" s="192">
        <f>H107/H$8</f>
        <v>6.615300033995586E-3</v>
      </c>
      <c r="L107" s="103"/>
    </row>
    <row r="108" spans="1:12" x14ac:dyDescent="0.25">
      <c r="A108" s="193" t="s">
        <v>105</v>
      </c>
      <c r="B108" s="194" t="s">
        <v>105</v>
      </c>
      <c r="C108" s="195">
        <v>8382</v>
      </c>
      <c r="D108" s="195">
        <v>94546</v>
      </c>
      <c r="E108" s="195">
        <v>59185</v>
      </c>
      <c r="F108" s="195">
        <v>53181</v>
      </c>
      <c r="G108" s="195">
        <v>52808</v>
      </c>
      <c r="H108" s="195">
        <v>68737</v>
      </c>
      <c r="I108" s="196">
        <f>IFERROR(H108/G108-1,"-")</f>
        <v>0.30163990304499322</v>
      </c>
      <c r="J108" s="195">
        <f t="shared" si="35"/>
        <v>15929</v>
      </c>
      <c r="K108" s="196">
        <f>H108/H$8</f>
        <v>2.3459036001772372E-3</v>
      </c>
      <c r="L108" s="103"/>
    </row>
    <row r="109" spans="1:12" x14ac:dyDescent="0.25">
      <c r="A109" s="193" t="s">
        <v>102</v>
      </c>
      <c r="B109" s="194" t="s">
        <v>102</v>
      </c>
      <c r="C109" s="195">
        <v>104181</v>
      </c>
      <c r="D109" s="195">
        <v>77352</v>
      </c>
      <c r="E109" s="195">
        <v>111770</v>
      </c>
      <c r="F109" s="195">
        <v>139031</v>
      </c>
      <c r="G109" s="195">
        <v>131711</v>
      </c>
      <c r="H109" s="195">
        <v>125097</v>
      </c>
      <c r="I109" s="196">
        <f>IFERROR(H109/G109-1,"-")</f>
        <v>-5.0216003219169192E-2</v>
      </c>
      <c r="J109" s="195">
        <f t="shared" si="35"/>
        <v>-6614</v>
      </c>
      <c r="K109" s="196">
        <f>H109/H$8</f>
        <v>4.2693964338183484E-3</v>
      </c>
      <c r="L109" s="103"/>
    </row>
    <row r="110" spans="1:12" x14ac:dyDescent="0.25">
      <c r="A110" s="193"/>
      <c r="B110" s="190" t="s">
        <v>109</v>
      </c>
      <c r="C110" s="191">
        <v>258102</v>
      </c>
      <c r="D110" s="191">
        <v>388875</v>
      </c>
      <c r="E110" s="191">
        <v>922349</v>
      </c>
      <c r="F110" s="191">
        <v>1018418</v>
      </c>
      <c r="G110" s="191">
        <v>1061263</v>
      </c>
      <c r="H110" s="191">
        <v>1014894</v>
      </c>
      <c r="I110" s="192">
        <f>IFERROR(H110/G110-1,"-")</f>
        <v>-4.3692279858998151E-2</v>
      </c>
      <c r="J110" s="191">
        <f t="shared" si="35"/>
        <v>-46369</v>
      </c>
      <c r="K110" s="192">
        <f>H110/H$8</f>
        <v>3.4637000282210118E-2</v>
      </c>
      <c r="L110" s="103"/>
    </row>
    <row r="111" spans="1:12" s="74" customFormat="1" x14ac:dyDescent="0.25">
      <c r="A111" s="193"/>
      <c r="B111" s="194" t="s">
        <v>112</v>
      </c>
      <c r="C111" s="195">
        <v>133518</v>
      </c>
      <c r="D111" s="195">
        <v>153164</v>
      </c>
      <c r="E111" s="195">
        <v>568160</v>
      </c>
      <c r="F111" s="195">
        <v>650057</v>
      </c>
      <c r="G111" s="195">
        <v>658325</v>
      </c>
      <c r="H111" s="195">
        <v>604524</v>
      </c>
      <c r="I111" s="196">
        <f t="shared" ref="I111:I118" si="36">IFERROR(H111/G111-1,"-")</f>
        <v>-8.1724072456613395E-2</v>
      </c>
      <c r="J111" s="195">
        <f t="shared" si="35"/>
        <v>-53801</v>
      </c>
      <c r="K111" s="196">
        <f t="shared" ref="K111:K118" si="37">H111/H$8</f>
        <v>2.0631610748120286E-2</v>
      </c>
      <c r="L111" s="197"/>
    </row>
    <row r="112" spans="1:12" s="74" customFormat="1" x14ac:dyDescent="0.25">
      <c r="A112" s="193"/>
      <c r="B112" s="194" t="s">
        <v>115</v>
      </c>
      <c r="C112" s="195">
        <v>18998</v>
      </c>
      <c r="D112" s="195">
        <v>45607</v>
      </c>
      <c r="E112" s="195">
        <v>35944</v>
      </c>
      <c r="F112" s="195">
        <v>47820</v>
      </c>
      <c r="G112" s="195">
        <v>47025</v>
      </c>
      <c r="H112" s="195">
        <v>52299</v>
      </c>
      <c r="I112" s="196">
        <f t="shared" si="36"/>
        <v>0.11215311004784678</v>
      </c>
      <c r="J112" s="195">
        <f t="shared" si="35"/>
        <v>5274</v>
      </c>
      <c r="K112" s="196">
        <f t="shared" si="37"/>
        <v>1.7848962332611159E-3</v>
      </c>
      <c r="L112" s="197"/>
    </row>
    <row r="113" spans="1:12" x14ac:dyDescent="0.25">
      <c r="A113" s="193"/>
      <c r="B113" s="194" t="s">
        <v>118</v>
      </c>
      <c r="C113" s="195">
        <v>12749</v>
      </c>
      <c r="D113" s="195">
        <v>58772</v>
      </c>
      <c r="E113" s="195">
        <v>55819</v>
      </c>
      <c r="F113" s="195">
        <v>68095</v>
      </c>
      <c r="G113" s="195">
        <v>71104</v>
      </c>
      <c r="H113" s="195">
        <v>87091</v>
      </c>
      <c r="I113" s="196">
        <f t="shared" si="36"/>
        <v>0.22483967146714678</v>
      </c>
      <c r="J113" s="195">
        <f t="shared" si="35"/>
        <v>15987</v>
      </c>
      <c r="K113" s="196">
        <f t="shared" si="37"/>
        <v>2.9723015325521301E-3</v>
      </c>
      <c r="L113" s="103"/>
    </row>
    <row r="114" spans="1:12" x14ac:dyDescent="0.25">
      <c r="A114" s="193"/>
      <c r="B114" s="194" t="s">
        <v>125</v>
      </c>
      <c r="C114" s="195">
        <v>7651</v>
      </c>
      <c r="D114" s="195">
        <v>23719</v>
      </c>
      <c r="E114" s="195">
        <v>34672</v>
      </c>
      <c r="F114" s="195">
        <v>35304</v>
      </c>
      <c r="G114" s="195">
        <v>34011</v>
      </c>
      <c r="H114" s="195">
        <v>37156</v>
      </c>
      <c r="I114" s="196">
        <f t="shared" si="36"/>
        <v>9.2470083208373799E-2</v>
      </c>
      <c r="J114" s="195">
        <f t="shared" si="35"/>
        <v>3145</v>
      </c>
      <c r="K114" s="196">
        <f t="shared" si="37"/>
        <v>1.2680855167986008E-3</v>
      </c>
      <c r="L114" s="103"/>
    </row>
    <row r="115" spans="1:12" x14ac:dyDescent="0.25">
      <c r="A115" s="193"/>
      <c r="B115" s="194" t="s">
        <v>121</v>
      </c>
      <c r="C115" s="195">
        <v>18826</v>
      </c>
      <c r="D115" s="195">
        <v>28829</v>
      </c>
      <c r="E115" s="195">
        <v>36949</v>
      </c>
      <c r="F115" s="195">
        <v>35389</v>
      </c>
      <c r="G115" s="195">
        <v>27130</v>
      </c>
      <c r="H115" s="195">
        <v>28854</v>
      </c>
      <c r="I115" s="196">
        <f t="shared" si="36"/>
        <v>6.354589015849621E-2</v>
      </c>
      <c r="J115" s="195">
        <f t="shared" si="35"/>
        <v>1724</v>
      </c>
      <c r="K115" s="196">
        <f t="shared" si="37"/>
        <v>9.8474915226899628E-4</v>
      </c>
      <c r="L115" s="103"/>
    </row>
    <row r="116" spans="1:12" x14ac:dyDescent="0.25">
      <c r="A116" s="193"/>
      <c r="B116" s="194" t="s">
        <v>130</v>
      </c>
      <c r="C116" s="195">
        <v>2329</v>
      </c>
      <c r="D116" s="195">
        <v>886</v>
      </c>
      <c r="E116" s="195">
        <v>9679</v>
      </c>
      <c r="F116" s="195">
        <v>7799</v>
      </c>
      <c r="G116" s="195">
        <v>10345</v>
      </c>
      <c r="H116" s="195">
        <v>6844</v>
      </c>
      <c r="I116" s="196">
        <f t="shared" si="36"/>
        <v>-0.33842435959400674</v>
      </c>
      <c r="J116" s="195">
        <f t="shared" si="35"/>
        <v>-3501</v>
      </c>
      <c r="K116" s="196">
        <f t="shared" si="37"/>
        <v>2.3357673799573753E-4</v>
      </c>
      <c r="L116" s="103"/>
    </row>
    <row r="117" spans="1:12" x14ac:dyDescent="0.25">
      <c r="A117" s="193" t="s">
        <v>146</v>
      </c>
      <c r="B117" s="194" t="s">
        <v>133</v>
      </c>
      <c r="C117" s="195">
        <v>7254</v>
      </c>
      <c r="D117" s="195">
        <v>378</v>
      </c>
      <c r="E117" s="195">
        <v>5619</v>
      </c>
      <c r="F117" s="195">
        <v>4722</v>
      </c>
      <c r="G117" s="195">
        <v>9099</v>
      </c>
      <c r="H117" s="195">
        <v>5372</v>
      </c>
      <c r="I117" s="196">
        <f t="shared" si="36"/>
        <v>-0.40960545114847791</v>
      </c>
      <c r="J117" s="195">
        <f t="shared" si="35"/>
        <v>-3727</v>
      </c>
      <c r="K117" s="196">
        <f t="shared" si="37"/>
        <v>1.8333930983534513E-4</v>
      </c>
      <c r="L117" s="103"/>
    </row>
    <row r="118" spans="1:12" x14ac:dyDescent="0.25">
      <c r="A118" s="193" t="s">
        <v>147</v>
      </c>
      <c r="B118" s="199" t="s">
        <v>147</v>
      </c>
      <c r="C118" s="200">
        <f t="shared" ref="C118" si="38">C110-SUM(C111:C117)</f>
        <v>56777</v>
      </c>
      <c r="D118" s="200">
        <f t="shared" ref="D118:H118" si="39">D110-SUM(D111:D117)</f>
        <v>77520</v>
      </c>
      <c r="E118" s="200">
        <f t="shared" si="39"/>
        <v>175507</v>
      </c>
      <c r="F118" s="200">
        <f t="shared" si="39"/>
        <v>169232</v>
      </c>
      <c r="G118" s="200">
        <f t="shared" si="39"/>
        <v>204224</v>
      </c>
      <c r="H118" s="200">
        <f t="shared" si="39"/>
        <v>192754</v>
      </c>
      <c r="I118" s="201">
        <f t="shared" si="36"/>
        <v>-5.616382011908494E-2</v>
      </c>
      <c r="J118" s="200">
        <f>H118-G118</f>
        <v>-11470</v>
      </c>
      <c r="K118" s="201">
        <f t="shared" si="37"/>
        <v>6.5784410513779062E-3</v>
      </c>
      <c r="L118" s="103"/>
    </row>
    <row r="119" spans="1:12" s="177" customFormat="1" x14ac:dyDescent="0.25">
      <c r="A119" s="193"/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</row>
    <row r="120" spans="1:12" x14ac:dyDescent="0.25">
      <c r="A120" s="193"/>
      <c r="B120" s="187" t="s">
        <v>70</v>
      </c>
      <c r="C120" s="209">
        <v>165295</v>
      </c>
      <c r="D120" s="209">
        <v>263278</v>
      </c>
      <c r="E120" s="209">
        <v>433395</v>
      </c>
      <c r="F120" s="209">
        <v>467345</v>
      </c>
      <c r="G120" s="209">
        <v>475889</v>
      </c>
      <c r="H120" s="209">
        <v>503913</v>
      </c>
      <c r="I120" s="210">
        <f>IFERROR(H120/G120-1,"-")</f>
        <v>5.8887681791342184E-2</v>
      </c>
      <c r="J120" s="209">
        <f>H120-G120</f>
        <v>28024</v>
      </c>
      <c r="K120" s="210">
        <f>H120/H$8</f>
        <v>1.7197889359094987E-2</v>
      </c>
      <c r="L120" s="103"/>
    </row>
    <row r="121" spans="1:12" x14ac:dyDescent="0.25">
      <c r="A121" s="193" t="s">
        <v>98</v>
      </c>
      <c r="B121" s="190" t="s">
        <v>99</v>
      </c>
      <c r="C121" s="191">
        <v>82724</v>
      </c>
      <c r="D121" s="191">
        <v>160825</v>
      </c>
      <c r="E121" s="191">
        <v>225216</v>
      </c>
      <c r="F121" s="191">
        <v>253425</v>
      </c>
      <c r="G121" s="191">
        <v>254238</v>
      </c>
      <c r="H121" s="191">
        <v>291436</v>
      </c>
      <c r="I121" s="192">
        <f>IFERROR(H121/G121-1,"-")</f>
        <v>0.14631172366050715</v>
      </c>
      <c r="J121" s="191">
        <f t="shared" ref="J121:J131" si="40">H121-G121</f>
        <v>37198</v>
      </c>
      <c r="K121" s="192">
        <f>H121/H$8</f>
        <v>9.9463282020055173E-3</v>
      </c>
      <c r="L121" s="103"/>
    </row>
    <row r="122" spans="1:12" x14ac:dyDescent="0.25">
      <c r="A122" s="193" t="s">
        <v>105</v>
      </c>
      <c r="B122" s="194" t="s">
        <v>105</v>
      </c>
      <c r="C122" s="195">
        <v>32750</v>
      </c>
      <c r="D122" s="195">
        <v>74575</v>
      </c>
      <c r="E122" s="195">
        <v>106682</v>
      </c>
      <c r="F122" s="195">
        <v>101584</v>
      </c>
      <c r="G122" s="195">
        <v>112133</v>
      </c>
      <c r="H122" s="195">
        <v>133917</v>
      </c>
      <c r="I122" s="196">
        <f>IFERROR(H122/G122-1,"-")</f>
        <v>0.19426930520007502</v>
      </c>
      <c r="J122" s="195">
        <f t="shared" si="40"/>
        <v>21784</v>
      </c>
      <c r="K122" s="196">
        <f>H122/H$8</f>
        <v>4.5704114585293958E-3</v>
      </c>
      <c r="L122" s="103"/>
    </row>
    <row r="123" spans="1:12" x14ac:dyDescent="0.25">
      <c r="A123" s="193" t="s">
        <v>102</v>
      </c>
      <c r="B123" s="194" t="s">
        <v>102</v>
      </c>
      <c r="C123" s="195">
        <v>49974</v>
      </c>
      <c r="D123" s="195">
        <v>86250</v>
      </c>
      <c r="E123" s="195">
        <v>118534</v>
      </c>
      <c r="F123" s="195">
        <v>151841</v>
      </c>
      <c r="G123" s="195">
        <v>142105</v>
      </c>
      <c r="H123" s="195">
        <v>157519</v>
      </c>
      <c r="I123" s="196">
        <f>IFERROR(H123/G123-1,"-")</f>
        <v>0.10846908975757352</v>
      </c>
      <c r="J123" s="195">
        <f t="shared" si="40"/>
        <v>15414</v>
      </c>
      <c r="K123" s="196">
        <f>H123/H$8</f>
        <v>5.3759167434761224E-3</v>
      </c>
      <c r="L123" s="103"/>
    </row>
    <row r="124" spans="1:12" x14ac:dyDescent="0.25">
      <c r="A124" s="193"/>
      <c r="B124" s="190" t="s">
        <v>109</v>
      </c>
      <c r="C124" s="191">
        <v>82571</v>
      </c>
      <c r="D124" s="191">
        <v>102453</v>
      </c>
      <c r="E124" s="191">
        <v>208179</v>
      </c>
      <c r="F124" s="191">
        <v>213920</v>
      </c>
      <c r="G124" s="191">
        <v>221651</v>
      </c>
      <c r="H124" s="191">
        <v>212477</v>
      </c>
      <c r="I124" s="192">
        <f>IFERROR(H124/G124-1,"-")</f>
        <v>-4.1389391430672551E-2</v>
      </c>
      <c r="J124" s="191">
        <f t="shared" si="40"/>
        <v>-9174</v>
      </c>
      <c r="K124" s="192">
        <f>H124/H$8</f>
        <v>7.2515611570894683E-3</v>
      </c>
      <c r="L124" s="103"/>
    </row>
    <row r="125" spans="1:12" s="74" customFormat="1" x14ac:dyDescent="0.25">
      <c r="A125" s="193"/>
      <c r="B125" s="194" t="s">
        <v>112</v>
      </c>
      <c r="C125" s="195">
        <v>9691</v>
      </c>
      <c r="D125" s="195">
        <v>6324</v>
      </c>
      <c r="E125" s="195">
        <v>27029</v>
      </c>
      <c r="F125" s="195">
        <v>33297</v>
      </c>
      <c r="G125" s="195">
        <v>29838</v>
      </c>
      <c r="H125" s="195">
        <v>24493</v>
      </c>
      <c r="I125" s="196">
        <f t="shared" ref="I125:I132" si="41">IFERROR(H125/G125-1,"-")</f>
        <v>-0.17913399021382126</v>
      </c>
      <c r="J125" s="195">
        <f t="shared" si="40"/>
        <v>-5345</v>
      </c>
      <c r="K125" s="196">
        <f t="shared" ref="K125:K132" si="42">H125/H$8</f>
        <v>8.3591394560631198E-4</v>
      </c>
      <c r="L125" s="197"/>
    </row>
    <row r="126" spans="1:12" s="74" customFormat="1" x14ac:dyDescent="0.25">
      <c r="A126" s="193"/>
      <c r="B126" s="194" t="s">
        <v>115</v>
      </c>
      <c r="C126" s="195">
        <v>9874</v>
      </c>
      <c r="D126" s="195">
        <v>12420</v>
      </c>
      <c r="E126" s="195">
        <v>24712</v>
      </c>
      <c r="F126" s="195">
        <v>32782</v>
      </c>
      <c r="G126" s="195">
        <v>32200</v>
      </c>
      <c r="H126" s="195">
        <v>30975</v>
      </c>
      <c r="I126" s="196">
        <f t="shared" si="41"/>
        <v>-3.8043478260869512E-2</v>
      </c>
      <c r="J126" s="195">
        <f t="shared" si="40"/>
        <v>-1225</v>
      </c>
      <c r="K126" s="196">
        <f t="shared" si="42"/>
        <v>1.0571360986876051E-3</v>
      </c>
      <c r="L126" s="197"/>
    </row>
    <row r="127" spans="1:12" x14ac:dyDescent="0.25">
      <c r="A127" s="193"/>
      <c r="B127" s="194" t="s">
        <v>118</v>
      </c>
      <c r="C127" s="195">
        <v>5911</v>
      </c>
      <c r="D127" s="195">
        <v>13931</v>
      </c>
      <c r="E127" s="195">
        <v>18814</v>
      </c>
      <c r="F127" s="195">
        <v>21615</v>
      </c>
      <c r="G127" s="195">
        <v>21985</v>
      </c>
      <c r="H127" s="195">
        <v>22263</v>
      </c>
      <c r="I127" s="196">
        <f t="shared" si="41"/>
        <v>1.2644985217193483E-2</v>
      </c>
      <c r="J127" s="195">
        <f t="shared" si="40"/>
        <v>278</v>
      </c>
      <c r="K127" s="196">
        <f t="shared" si="42"/>
        <v>7.5980697223832622E-4</v>
      </c>
      <c r="L127" s="103"/>
    </row>
    <row r="128" spans="1:12" x14ac:dyDescent="0.25">
      <c r="A128" s="193"/>
      <c r="B128" s="194" t="s">
        <v>125</v>
      </c>
      <c r="C128" s="195">
        <v>1464</v>
      </c>
      <c r="D128" s="195">
        <v>2214</v>
      </c>
      <c r="E128" s="195">
        <v>4863</v>
      </c>
      <c r="F128" s="195">
        <v>5575</v>
      </c>
      <c r="G128" s="195">
        <v>5980</v>
      </c>
      <c r="H128" s="195">
        <v>7170</v>
      </c>
      <c r="I128" s="196">
        <f t="shared" si="41"/>
        <v>0.19899665551839463</v>
      </c>
      <c r="J128" s="195">
        <f t="shared" si="40"/>
        <v>1190</v>
      </c>
      <c r="K128" s="196">
        <f t="shared" si="42"/>
        <v>2.447026901562592E-4</v>
      </c>
      <c r="L128" s="103"/>
    </row>
    <row r="129" spans="1:12" x14ac:dyDescent="0.25">
      <c r="A129" s="193"/>
      <c r="B129" s="194" t="s">
        <v>121</v>
      </c>
      <c r="C129" s="195">
        <v>1517</v>
      </c>
      <c r="D129" s="195">
        <v>1816</v>
      </c>
      <c r="E129" s="195">
        <v>3717</v>
      </c>
      <c r="F129" s="195">
        <v>4323</v>
      </c>
      <c r="G129" s="195">
        <v>4572</v>
      </c>
      <c r="H129" s="195">
        <v>5190</v>
      </c>
      <c r="I129" s="196">
        <f t="shared" si="41"/>
        <v>0.13517060367454059</v>
      </c>
      <c r="J129" s="195">
        <f t="shared" si="40"/>
        <v>618</v>
      </c>
      <c r="K129" s="196">
        <f t="shared" si="42"/>
        <v>1.7712788869051399E-4</v>
      </c>
      <c r="L129" s="103"/>
    </row>
    <row r="130" spans="1:12" x14ac:dyDescent="0.25">
      <c r="A130" s="193"/>
      <c r="B130" s="194" t="s">
        <v>130</v>
      </c>
      <c r="C130" s="195">
        <v>1636</v>
      </c>
      <c r="D130" s="195">
        <v>559</v>
      </c>
      <c r="E130" s="195">
        <v>1978</v>
      </c>
      <c r="F130" s="195">
        <v>2618</v>
      </c>
      <c r="G130" s="195">
        <v>3241</v>
      </c>
      <c r="H130" s="195">
        <v>2113</v>
      </c>
      <c r="I130" s="196">
        <f t="shared" si="41"/>
        <v>-0.34804072817031784</v>
      </c>
      <c r="J130" s="195">
        <f t="shared" si="40"/>
        <v>-1128</v>
      </c>
      <c r="K130" s="196">
        <f t="shared" si="42"/>
        <v>7.2113916917737204E-5</v>
      </c>
      <c r="L130" s="103"/>
    </row>
    <row r="131" spans="1:12" x14ac:dyDescent="0.25">
      <c r="A131" s="193" t="s">
        <v>146</v>
      </c>
      <c r="B131" s="194" t="s">
        <v>133</v>
      </c>
      <c r="C131" s="195">
        <v>2018</v>
      </c>
      <c r="D131" s="195">
        <v>830</v>
      </c>
      <c r="E131" s="195">
        <v>2819</v>
      </c>
      <c r="F131" s="195">
        <v>3621</v>
      </c>
      <c r="G131" s="195">
        <v>3873</v>
      </c>
      <c r="H131" s="195">
        <v>3093</v>
      </c>
      <c r="I131" s="196">
        <f t="shared" si="41"/>
        <v>-0.20139426800929516</v>
      </c>
      <c r="J131" s="195">
        <f t="shared" si="40"/>
        <v>-780</v>
      </c>
      <c r="K131" s="196">
        <f t="shared" si="42"/>
        <v>1.0556003077452019E-4</v>
      </c>
      <c r="L131" s="103"/>
    </row>
    <row r="132" spans="1:12" x14ac:dyDescent="0.25">
      <c r="A132" s="193" t="s">
        <v>147</v>
      </c>
      <c r="B132" s="199" t="s">
        <v>147</v>
      </c>
      <c r="C132" s="200">
        <f t="shared" ref="C132" si="43">C124-SUM(C125:C131)</f>
        <v>50460</v>
      </c>
      <c r="D132" s="200">
        <f t="shared" ref="D132:H132" si="44">D124-SUM(D125:D131)</f>
        <v>64359</v>
      </c>
      <c r="E132" s="200">
        <f t="shared" si="44"/>
        <v>124247</v>
      </c>
      <c r="F132" s="200">
        <f t="shared" si="44"/>
        <v>110089</v>
      </c>
      <c r="G132" s="200">
        <f t="shared" si="44"/>
        <v>119962</v>
      </c>
      <c r="H132" s="200">
        <f t="shared" si="44"/>
        <v>117180</v>
      </c>
      <c r="I132" s="201">
        <f t="shared" si="41"/>
        <v>-2.3190677047731811E-2</v>
      </c>
      <c r="J132" s="200">
        <f>H132-G132</f>
        <v>-2782</v>
      </c>
      <c r="K132" s="201">
        <f t="shared" si="42"/>
        <v>3.999199614018195E-3</v>
      </c>
      <c r="L132" s="103"/>
    </row>
    <row r="133" spans="1:12" s="177" customFormat="1" x14ac:dyDescent="0.25">
      <c r="A133" s="193"/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</row>
    <row r="134" spans="1:12" x14ac:dyDescent="0.25">
      <c r="A134" s="193"/>
      <c r="B134" s="187" t="s">
        <v>70</v>
      </c>
      <c r="C134" s="209">
        <v>520456</v>
      </c>
      <c r="D134" s="209">
        <v>514282</v>
      </c>
      <c r="E134" s="209">
        <v>1443953</v>
      </c>
      <c r="F134" s="209">
        <v>1563825</v>
      </c>
      <c r="G134" s="209">
        <v>1665600</v>
      </c>
      <c r="H134" s="209">
        <v>1686838</v>
      </c>
      <c r="I134" s="210">
        <f>IFERROR(H134/G134-1,"-")</f>
        <v>1.2750960614793527E-2</v>
      </c>
      <c r="J134" s="209">
        <f>H134-G134</f>
        <v>21238</v>
      </c>
      <c r="K134" s="210">
        <f>H134/H$8</f>
        <v>5.7569567148926637E-2</v>
      </c>
      <c r="L134" s="103"/>
    </row>
    <row r="135" spans="1:12" x14ac:dyDescent="0.25">
      <c r="A135" s="193" t="s">
        <v>98</v>
      </c>
      <c r="B135" s="190" t="s">
        <v>99</v>
      </c>
      <c r="C135" s="191">
        <v>53748</v>
      </c>
      <c r="D135" s="191">
        <v>131257</v>
      </c>
      <c r="E135" s="191">
        <v>93705</v>
      </c>
      <c r="F135" s="191">
        <v>103244</v>
      </c>
      <c r="G135" s="191">
        <v>92495</v>
      </c>
      <c r="H135" s="191">
        <v>109242</v>
      </c>
      <c r="I135" s="192">
        <f>IFERROR(H135/G135-1,"-")</f>
        <v>0.18105843559111312</v>
      </c>
      <c r="J135" s="191">
        <f t="shared" ref="J135:J145" si="45">H135-G135</f>
        <v>16747</v>
      </c>
      <c r="K135" s="192">
        <f>H135/H$8</f>
        <v>3.7282860917782525E-3</v>
      </c>
      <c r="L135" s="103"/>
    </row>
    <row r="136" spans="1:12" x14ac:dyDescent="0.25">
      <c r="A136" s="193" t="s">
        <v>105</v>
      </c>
      <c r="B136" s="194" t="s">
        <v>105</v>
      </c>
      <c r="C136" s="195">
        <v>34399</v>
      </c>
      <c r="D136" s="195">
        <v>80258</v>
      </c>
      <c r="E136" s="195">
        <v>51915</v>
      </c>
      <c r="F136" s="195">
        <v>56049</v>
      </c>
      <c r="G136" s="195">
        <v>45454</v>
      </c>
      <c r="H136" s="195">
        <v>49801</v>
      </c>
      <c r="I136" s="196">
        <f>IFERROR(H136/G136-1,"-")</f>
        <v>9.5635147621771388E-2</v>
      </c>
      <c r="J136" s="195">
        <f t="shared" si="45"/>
        <v>4347</v>
      </c>
      <c r="K136" s="196">
        <f>H136/H$8</f>
        <v>1.6996427716139283E-3</v>
      </c>
      <c r="L136" s="103"/>
    </row>
    <row r="137" spans="1:12" x14ac:dyDescent="0.25">
      <c r="A137" s="193" t="s">
        <v>102</v>
      </c>
      <c r="B137" s="194" t="s">
        <v>102</v>
      </c>
      <c r="C137" s="195">
        <v>19349</v>
      </c>
      <c r="D137" s="195">
        <v>50999</v>
      </c>
      <c r="E137" s="195">
        <v>41790</v>
      </c>
      <c r="F137" s="195">
        <v>47195</v>
      </c>
      <c r="G137" s="195">
        <v>47041</v>
      </c>
      <c r="H137" s="195">
        <v>59441</v>
      </c>
      <c r="I137" s="196">
        <f>IFERROR(H137/G137-1,"-")</f>
        <v>0.26359983843880874</v>
      </c>
      <c r="J137" s="195">
        <f t="shared" si="45"/>
        <v>12400</v>
      </c>
      <c r="K137" s="196">
        <f>H137/H$8</f>
        <v>2.028643320164324E-3</v>
      </c>
      <c r="L137" s="103"/>
    </row>
    <row r="138" spans="1:12" x14ac:dyDescent="0.25">
      <c r="A138" s="193"/>
      <c r="B138" s="190" t="s">
        <v>109</v>
      </c>
      <c r="C138" s="191">
        <v>466708</v>
      </c>
      <c r="D138" s="191">
        <v>383025</v>
      </c>
      <c r="E138" s="191">
        <v>1350248</v>
      </c>
      <c r="F138" s="191">
        <v>1460581</v>
      </c>
      <c r="G138" s="191">
        <v>1573105</v>
      </c>
      <c r="H138" s="191">
        <v>1577596</v>
      </c>
      <c r="I138" s="192">
        <f>IFERROR(H138/G138-1,"-")</f>
        <v>2.8548634706520026E-3</v>
      </c>
      <c r="J138" s="191">
        <f t="shared" si="45"/>
        <v>4491</v>
      </c>
      <c r="K138" s="192">
        <f>H138/H$8</f>
        <v>5.3841281057148388E-2</v>
      </c>
      <c r="L138" s="103"/>
    </row>
    <row r="139" spans="1:12" s="74" customFormat="1" x14ac:dyDescent="0.25">
      <c r="A139" s="193"/>
      <c r="B139" s="194" t="s">
        <v>112</v>
      </c>
      <c r="C139" s="195">
        <v>204322</v>
      </c>
      <c r="D139" s="195">
        <v>91457</v>
      </c>
      <c r="E139" s="195">
        <v>620606</v>
      </c>
      <c r="F139" s="195">
        <v>622599</v>
      </c>
      <c r="G139" s="195">
        <v>724683</v>
      </c>
      <c r="H139" s="195">
        <v>758434</v>
      </c>
      <c r="I139" s="196">
        <f t="shared" ref="I139:I146" si="46">IFERROR(H139/G139-1,"-")</f>
        <v>4.6573467295355275E-2</v>
      </c>
      <c r="J139" s="195">
        <f t="shared" si="45"/>
        <v>33751</v>
      </c>
      <c r="K139" s="196">
        <f t="shared" ref="K139:K146" si="47">H139/H$8</f>
        <v>2.5884357058015662E-2</v>
      </c>
      <c r="L139" s="197"/>
    </row>
    <row r="140" spans="1:12" s="74" customFormat="1" x14ac:dyDescent="0.25">
      <c r="A140" s="193"/>
      <c r="B140" s="194" t="s">
        <v>115</v>
      </c>
      <c r="C140" s="195">
        <v>34480</v>
      </c>
      <c r="D140" s="195">
        <v>40832</v>
      </c>
      <c r="E140" s="195">
        <v>99779</v>
      </c>
      <c r="F140" s="195">
        <v>145560</v>
      </c>
      <c r="G140" s="195">
        <v>154849</v>
      </c>
      <c r="H140" s="195">
        <v>154642</v>
      </c>
      <c r="I140" s="196">
        <f t="shared" si="46"/>
        <v>-1.3367861594197894E-3</v>
      </c>
      <c r="J140" s="195">
        <f t="shared" si="45"/>
        <v>-207</v>
      </c>
      <c r="K140" s="196">
        <f t="shared" si="47"/>
        <v>5.2777285092251375E-3</v>
      </c>
      <c r="L140" s="197"/>
    </row>
    <row r="141" spans="1:12" x14ac:dyDescent="0.25">
      <c r="A141" s="193"/>
      <c r="B141" s="194" t="s">
        <v>118</v>
      </c>
      <c r="C141" s="195">
        <v>36892</v>
      </c>
      <c r="D141" s="195">
        <v>68207</v>
      </c>
      <c r="E141" s="195">
        <v>146618</v>
      </c>
      <c r="F141" s="195">
        <v>141298</v>
      </c>
      <c r="G141" s="195">
        <v>149266</v>
      </c>
      <c r="H141" s="195">
        <v>140017</v>
      </c>
      <c r="I141" s="196">
        <f t="shared" si="46"/>
        <v>-6.1963206624415457E-2</v>
      </c>
      <c r="J141" s="195">
        <f t="shared" si="45"/>
        <v>-9249</v>
      </c>
      <c r="K141" s="196">
        <f t="shared" si="47"/>
        <v>4.7785964529440655E-3</v>
      </c>
      <c r="L141" s="103"/>
    </row>
    <row r="142" spans="1:12" x14ac:dyDescent="0.25">
      <c r="A142" s="193"/>
      <c r="B142" s="194" t="s">
        <v>125</v>
      </c>
      <c r="C142" s="195">
        <v>6901</v>
      </c>
      <c r="D142" s="195">
        <v>12840</v>
      </c>
      <c r="E142" s="195">
        <v>53239</v>
      </c>
      <c r="F142" s="195">
        <v>67017</v>
      </c>
      <c r="G142" s="195">
        <v>51676</v>
      </c>
      <c r="H142" s="195">
        <v>46505</v>
      </c>
      <c r="I142" s="196">
        <f t="shared" si="46"/>
        <v>-0.10006579456614284</v>
      </c>
      <c r="J142" s="195">
        <f t="shared" si="45"/>
        <v>-5171</v>
      </c>
      <c r="K142" s="196">
        <f t="shared" si="47"/>
        <v>1.5871546172547886E-3</v>
      </c>
      <c r="L142" s="103"/>
    </row>
    <row r="143" spans="1:12" x14ac:dyDescent="0.25">
      <c r="A143" s="193"/>
      <c r="B143" s="194" t="s">
        <v>121</v>
      </c>
      <c r="C143" s="195">
        <v>10923</v>
      </c>
      <c r="D143" s="195">
        <v>13013</v>
      </c>
      <c r="E143" s="195">
        <v>25996</v>
      </c>
      <c r="F143" s="195">
        <v>33903</v>
      </c>
      <c r="G143" s="195">
        <v>35840</v>
      </c>
      <c r="H143" s="195">
        <v>27151</v>
      </c>
      <c r="I143" s="196">
        <f t="shared" si="46"/>
        <v>-0.24243861607142858</v>
      </c>
      <c r="J143" s="195">
        <f t="shared" si="45"/>
        <v>-8689</v>
      </c>
      <c r="K143" s="196">
        <f t="shared" si="47"/>
        <v>9.2662799727093366E-4</v>
      </c>
      <c r="L143" s="103"/>
    </row>
    <row r="144" spans="1:12" x14ac:dyDescent="0.25">
      <c r="A144" s="193"/>
      <c r="B144" s="194" t="s">
        <v>130</v>
      </c>
      <c r="C144" s="195">
        <v>15298</v>
      </c>
      <c r="D144" s="195">
        <v>2167</v>
      </c>
      <c r="E144" s="195">
        <v>15349</v>
      </c>
      <c r="F144" s="195">
        <v>19191</v>
      </c>
      <c r="G144" s="195">
        <v>17732</v>
      </c>
      <c r="H144" s="195">
        <v>19545</v>
      </c>
      <c r="I144" s="196">
        <f t="shared" si="46"/>
        <v>0.10224452966388453</v>
      </c>
      <c r="J144" s="195">
        <f t="shared" si="45"/>
        <v>1813</v>
      </c>
      <c r="K144" s="196">
        <f t="shared" si="47"/>
        <v>6.6704519931716684E-4</v>
      </c>
      <c r="L144" s="103"/>
    </row>
    <row r="145" spans="1:12" x14ac:dyDescent="0.25">
      <c r="A145" s="193" t="s">
        <v>146</v>
      </c>
      <c r="B145" s="194" t="s">
        <v>133</v>
      </c>
      <c r="C145" s="195">
        <v>29128</v>
      </c>
      <c r="D145" s="195">
        <v>652</v>
      </c>
      <c r="E145" s="195">
        <v>7226</v>
      </c>
      <c r="F145" s="195">
        <v>13473</v>
      </c>
      <c r="G145" s="195">
        <v>11848</v>
      </c>
      <c r="H145" s="195">
        <v>10311</v>
      </c>
      <c r="I145" s="196">
        <f t="shared" si="46"/>
        <v>-0.12972653612424034</v>
      </c>
      <c r="J145" s="195">
        <f t="shared" si="45"/>
        <v>-1537</v>
      </c>
      <c r="K145" s="196">
        <f t="shared" si="47"/>
        <v>3.5190089793600961E-4</v>
      </c>
      <c r="L145" s="103"/>
    </row>
    <row r="146" spans="1:12" x14ac:dyDescent="0.25">
      <c r="A146" s="193" t="s">
        <v>147</v>
      </c>
      <c r="B146" s="199" t="s">
        <v>147</v>
      </c>
      <c r="C146" s="200">
        <f t="shared" ref="C146" si="48">C138-SUM(C139:C145)</f>
        <v>128764</v>
      </c>
      <c r="D146" s="200">
        <f t="shared" ref="D146:H146" si="49">D138-SUM(D139:D145)</f>
        <v>153857</v>
      </c>
      <c r="E146" s="200">
        <f t="shared" si="49"/>
        <v>381435</v>
      </c>
      <c r="F146" s="200">
        <f t="shared" si="49"/>
        <v>417540</v>
      </c>
      <c r="G146" s="200">
        <f t="shared" si="49"/>
        <v>427211</v>
      </c>
      <c r="H146" s="200">
        <f t="shared" si="49"/>
        <v>420991</v>
      </c>
      <c r="I146" s="201">
        <f t="shared" si="46"/>
        <v>-1.4559550198847915E-2</v>
      </c>
      <c r="J146" s="200">
        <f>H146-G146</f>
        <v>-6220</v>
      </c>
      <c r="K146" s="201">
        <f t="shared" si="47"/>
        <v>1.436787032518462E-2</v>
      </c>
      <c r="L146" s="103"/>
    </row>
    <row r="147" spans="1:12" s="177" customFormat="1" x14ac:dyDescent="0.25">
      <c r="A147" s="193"/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</row>
    <row r="148" spans="1:12" x14ac:dyDescent="0.25">
      <c r="A148" s="193"/>
      <c r="B148" s="187" t="s">
        <v>70</v>
      </c>
      <c r="C148" s="209">
        <v>204716</v>
      </c>
      <c r="D148" s="209">
        <v>212645</v>
      </c>
      <c r="E148" s="209">
        <v>495167</v>
      </c>
      <c r="F148" s="209">
        <v>641391</v>
      </c>
      <c r="G148" s="209">
        <v>616166</v>
      </c>
      <c r="H148" s="209">
        <v>611389</v>
      </c>
      <c r="I148" s="210">
        <f>IFERROR(H148/G148-1,"-")</f>
        <v>-7.7527809064440456E-3</v>
      </c>
      <c r="J148" s="209">
        <f>H148-G148</f>
        <v>-4777</v>
      </c>
      <c r="K148" s="210">
        <f>H148/H$8</f>
        <v>2.0865904188555811E-2</v>
      </c>
      <c r="L148" s="103"/>
    </row>
    <row r="149" spans="1:12" x14ac:dyDescent="0.25">
      <c r="A149" s="193" t="s">
        <v>98</v>
      </c>
      <c r="B149" s="190" t="s">
        <v>99</v>
      </c>
      <c r="C149" s="191">
        <v>76683</v>
      </c>
      <c r="D149" s="191">
        <v>92930</v>
      </c>
      <c r="E149" s="191">
        <v>210595</v>
      </c>
      <c r="F149" s="191">
        <v>257673</v>
      </c>
      <c r="G149" s="191">
        <v>238535</v>
      </c>
      <c r="H149" s="191">
        <v>222290</v>
      </c>
      <c r="I149" s="192">
        <f>IFERROR(H149/G149-1,"-")</f>
        <v>-6.8103213364914983E-2</v>
      </c>
      <c r="J149" s="191">
        <f t="shared" ref="J149:J159" si="50">H149-G149</f>
        <v>-16245</v>
      </c>
      <c r="K149" s="192">
        <f>H149/H$8</f>
        <v>7.5864659685962151E-3</v>
      </c>
      <c r="L149" s="103"/>
    </row>
    <row r="150" spans="1:12" x14ac:dyDescent="0.25">
      <c r="A150" s="193" t="s">
        <v>105</v>
      </c>
      <c r="B150" s="194" t="s">
        <v>105</v>
      </c>
      <c r="C150" s="195">
        <v>34406</v>
      </c>
      <c r="D150" s="195">
        <v>66430</v>
      </c>
      <c r="E150" s="195">
        <v>128107</v>
      </c>
      <c r="F150" s="195">
        <v>179358</v>
      </c>
      <c r="G150" s="195">
        <v>156139</v>
      </c>
      <c r="H150" s="195">
        <v>132439</v>
      </c>
      <c r="I150" s="196">
        <f>IFERROR(H150/G150-1,"-")</f>
        <v>-0.15178783007448493</v>
      </c>
      <c r="J150" s="195">
        <f t="shared" si="50"/>
        <v>-23700</v>
      </c>
      <c r="K150" s="196">
        <f>H150/H$8</f>
        <v>4.519969258243349E-3</v>
      </c>
      <c r="L150" s="103"/>
    </row>
    <row r="151" spans="1:12" x14ac:dyDescent="0.25">
      <c r="A151" s="193" t="s">
        <v>102</v>
      </c>
      <c r="B151" s="194" t="s">
        <v>102</v>
      </c>
      <c r="C151" s="195">
        <v>42277</v>
      </c>
      <c r="D151" s="195">
        <v>26500</v>
      </c>
      <c r="E151" s="195">
        <v>82488</v>
      </c>
      <c r="F151" s="195">
        <v>78315</v>
      </c>
      <c r="G151" s="195">
        <v>82396</v>
      </c>
      <c r="H151" s="195">
        <v>89851</v>
      </c>
      <c r="I151" s="196">
        <f>IFERROR(H151/G151-1,"-")</f>
        <v>9.0477693091897571E-2</v>
      </c>
      <c r="J151" s="195">
        <f t="shared" si="50"/>
        <v>7455</v>
      </c>
      <c r="K151" s="196">
        <f>H151/H$8</f>
        <v>3.0664967103528657E-3</v>
      </c>
      <c r="L151" s="103"/>
    </row>
    <row r="152" spans="1:12" x14ac:dyDescent="0.25">
      <c r="A152" s="193"/>
      <c r="B152" s="190" t="s">
        <v>109</v>
      </c>
      <c r="C152" s="191">
        <v>128033</v>
      </c>
      <c r="D152" s="191">
        <v>119715</v>
      </c>
      <c r="E152" s="191">
        <v>284572</v>
      </c>
      <c r="F152" s="191">
        <v>383718</v>
      </c>
      <c r="G152" s="191">
        <v>377631</v>
      </c>
      <c r="H152" s="191">
        <v>389099</v>
      </c>
      <c r="I152" s="192">
        <f>IFERROR(H152/G152-1,"-")</f>
        <v>3.0368269554141403E-2</v>
      </c>
      <c r="J152" s="191">
        <f t="shared" si="50"/>
        <v>11468</v>
      </c>
      <c r="K152" s="192">
        <f>H152/H$8</f>
        <v>1.3279438219959597E-2</v>
      </c>
      <c r="L152" s="103"/>
    </row>
    <row r="153" spans="1:12" s="74" customFormat="1" x14ac:dyDescent="0.25">
      <c r="A153" s="193"/>
      <c r="B153" s="194" t="s">
        <v>112</v>
      </c>
      <c r="C153" s="195">
        <v>26992</v>
      </c>
      <c r="D153" s="195">
        <v>15208</v>
      </c>
      <c r="E153" s="195">
        <v>105720</v>
      </c>
      <c r="F153" s="195">
        <v>146172</v>
      </c>
      <c r="G153" s="195">
        <v>129931</v>
      </c>
      <c r="H153" s="195">
        <v>79292</v>
      </c>
      <c r="I153" s="196">
        <f t="shared" ref="I153:I160" si="51">IFERROR(H153/G153-1,"-")</f>
        <v>-0.38973762997283168</v>
      </c>
      <c r="J153" s="195">
        <f t="shared" si="50"/>
        <v>-50639</v>
      </c>
      <c r="K153" s="196">
        <f t="shared" ref="K153:K160" si="52">H153/H$8</f>
        <v>2.7061318978898333E-3</v>
      </c>
      <c r="L153" s="197"/>
    </row>
    <row r="154" spans="1:12" s="74" customFormat="1" x14ac:dyDescent="0.25">
      <c r="A154" s="193"/>
      <c r="B154" s="194" t="s">
        <v>115</v>
      </c>
      <c r="C154" s="195">
        <v>46028</v>
      </c>
      <c r="D154" s="195">
        <v>36157</v>
      </c>
      <c r="E154" s="195">
        <v>72812</v>
      </c>
      <c r="F154" s="195">
        <v>80080</v>
      </c>
      <c r="G154" s="195">
        <v>80193</v>
      </c>
      <c r="H154" s="195">
        <v>75775</v>
      </c>
      <c r="I154" s="196">
        <f t="shared" si="51"/>
        <v>-5.5092090332073851E-2</v>
      </c>
      <c r="J154" s="195">
        <f t="shared" si="50"/>
        <v>-4418</v>
      </c>
      <c r="K154" s="196">
        <f t="shared" si="52"/>
        <v>2.5861013035691134E-3</v>
      </c>
      <c r="L154" s="197"/>
    </row>
    <row r="155" spans="1:12" x14ac:dyDescent="0.25">
      <c r="A155" s="193"/>
      <c r="B155" s="194" t="s">
        <v>118</v>
      </c>
      <c r="C155" s="195">
        <v>13069</v>
      </c>
      <c r="D155" s="195">
        <v>21659</v>
      </c>
      <c r="E155" s="195">
        <v>30861</v>
      </c>
      <c r="F155" s="195">
        <v>59392</v>
      </c>
      <c r="G155" s="195">
        <v>53036</v>
      </c>
      <c r="H155" s="195">
        <v>133722</v>
      </c>
      <c r="I155" s="196">
        <f t="shared" si="51"/>
        <v>1.5213439927596348</v>
      </c>
      <c r="J155" s="195">
        <f t="shared" si="50"/>
        <v>80686</v>
      </c>
      <c r="K155" s="196">
        <f t="shared" si="52"/>
        <v>4.5637563644456477E-3</v>
      </c>
      <c r="L155" s="103"/>
    </row>
    <row r="156" spans="1:12" x14ac:dyDescent="0.25">
      <c r="A156" s="193"/>
      <c r="B156" s="194" t="s">
        <v>125</v>
      </c>
      <c r="C156" s="195">
        <v>2476</v>
      </c>
      <c r="D156" s="195">
        <v>3060</v>
      </c>
      <c r="E156" s="195">
        <v>6812</v>
      </c>
      <c r="F156" s="195">
        <v>9921</v>
      </c>
      <c r="G156" s="195">
        <v>12943</v>
      </c>
      <c r="H156" s="195">
        <v>10309</v>
      </c>
      <c r="I156" s="196">
        <f t="shared" si="51"/>
        <v>-0.20350768755311754</v>
      </c>
      <c r="J156" s="195">
        <f t="shared" si="50"/>
        <v>-2634</v>
      </c>
      <c r="K156" s="196">
        <f t="shared" si="52"/>
        <v>3.5183264056079169E-4</v>
      </c>
      <c r="L156" s="103"/>
    </row>
    <row r="157" spans="1:12" x14ac:dyDescent="0.25">
      <c r="A157" s="193"/>
      <c r="B157" s="194" t="s">
        <v>121</v>
      </c>
      <c r="C157" s="195">
        <v>9107</v>
      </c>
      <c r="D157" s="195">
        <v>9593</v>
      </c>
      <c r="E157" s="195">
        <v>23654</v>
      </c>
      <c r="F157" s="195">
        <v>18824</v>
      </c>
      <c r="G157" s="195">
        <v>21629</v>
      </c>
      <c r="H157" s="195">
        <v>16466</v>
      </c>
      <c r="I157" s="196">
        <f t="shared" si="51"/>
        <v>-0.23870729113689948</v>
      </c>
      <c r="J157" s="195">
        <f t="shared" si="50"/>
        <v>-5163</v>
      </c>
      <c r="K157" s="196">
        <f t="shared" si="52"/>
        <v>5.6196297016917216E-4</v>
      </c>
      <c r="L157" s="103"/>
    </row>
    <row r="158" spans="1:12" x14ac:dyDescent="0.25">
      <c r="A158" s="193"/>
      <c r="B158" s="194" t="s">
        <v>130</v>
      </c>
      <c r="C158" s="195">
        <v>2809</v>
      </c>
      <c r="D158" s="195">
        <v>608</v>
      </c>
      <c r="E158" s="195">
        <v>1636</v>
      </c>
      <c r="F158" s="195">
        <v>3281</v>
      </c>
      <c r="G158" s="195">
        <v>2254</v>
      </c>
      <c r="H158" s="195">
        <v>1889</v>
      </c>
      <c r="I158" s="196">
        <f t="shared" si="51"/>
        <v>-0.16193433895297249</v>
      </c>
      <c r="J158" s="195">
        <f t="shared" si="50"/>
        <v>-365</v>
      </c>
      <c r="K158" s="196">
        <f t="shared" si="52"/>
        <v>6.4469090893329656E-5</v>
      </c>
      <c r="L158" s="103"/>
    </row>
    <row r="159" spans="1:12" x14ac:dyDescent="0.25">
      <c r="A159" s="193" t="s">
        <v>146</v>
      </c>
      <c r="B159" s="194" t="s">
        <v>133</v>
      </c>
      <c r="C159" s="195">
        <v>3734</v>
      </c>
      <c r="D159" s="195">
        <v>397</v>
      </c>
      <c r="E159" s="195">
        <v>2802</v>
      </c>
      <c r="F159" s="195">
        <v>4346</v>
      </c>
      <c r="G159" s="195">
        <v>3969</v>
      </c>
      <c r="H159" s="195">
        <v>3019</v>
      </c>
      <c r="I159" s="196">
        <f t="shared" si="51"/>
        <v>-0.23935500125976317</v>
      </c>
      <c r="J159" s="195">
        <f t="shared" si="50"/>
        <v>-950</v>
      </c>
      <c r="K159" s="196">
        <f t="shared" si="52"/>
        <v>1.0303450789145699E-4</v>
      </c>
      <c r="L159" s="103"/>
    </row>
    <row r="160" spans="1:12" x14ac:dyDescent="0.25">
      <c r="A160" s="193" t="s">
        <v>147</v>
      </c>
      <c r="B160" s="199" t="s">
        <v>147</v>
      </c>
      <c r="C160" s="200">
        <f t="shared" ref="C160" si="53">C152-SUM(C153:C159)</f>
        <v>23818</v>
      </c>
      <c r="D160" s="200">
        <f t="shared" ref="D160:H160" si="54">D152-SUM(D153:D159)</f>
        <v>33033</v>
      </c>
      <c r="E160" s="200">
        <f t="shared" si="54"/>
        <v>40275</v>
      </c>
      <c r="F160" s="200">
        <f t="shared" si="54"/>
        <v>61702</v>
      </c>
      <c r="G160" s="200">
        <f t="shared" si="54"/>
        <v>73676</v>
      </c>
      <c r="H160" s="200">
        <f t="shared" si="54"/>
        <v>68627</v>
      </c>
      <c r="I160" s="201">
        <f t="shared" si="51"/>
        <v>-6.8529779032520777E-2</v>
      </c>
      <c r="J160" s="200">
        <f>H160-G160</f>
        <v>-5049</v>
      </c>
      <c r="K160" s="201">
        <f t="shared" si="52"/>
        <v>2.3421494445402514E-3</v>
      </c>
      <c r="L160" s="103"/>
    </row>
    <row r="161" spans="2:14" ht="6" customHeight="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</row>
    <row r="162" spans="2:14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</row>
  </sheetData>
  <mergeCells count="2">
    <mergeCell ref="B3:K3"/>
    <mergeCell ref="C5:K5"/>
  </mergeCells>
  <pageMargins left="0.25" right="0.25" top="0.75" bottom="0.75" header="0.3" footer="0.3"/>
  <pageSetup paperSize="9" scale="2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0DC29-C2BA-41A8-825D-3186418A434E}">
  <sheetPr>
    <tabColor rgb="FFF29140"/>
    <pageSetUpPr fitToPage="1"/>
  </sheetPr>
  <dimension ref="A1:P162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</cols>
  <sheetData>
    <row r="1" spans="1:14" ht="42.75" customHeight="1" x14ac:dyDescent="0.25"/>
    <row r="4" spans="1:14" ht="42" customHeight="1" thickBot="1" x14ac:dyDescent="0.3">
      <c r="B4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4" ht="6" customHeight="1" x14ac:dyDescent="0.25"/>
    <row r="6" spans="1:14" s="177" customFormat="1" ht="72" customHeight="1" x14ac:dyDescent="0.25">
      <c r="B6" s="178"/>
      <c r="C6" s="218">
        <v>2019</v>
      </c>
      <c r="D6" s="218">
        <v>2020</v>
      </c>
      <c r="E6" s="218">
        <v>2021</v>
      </c>
      <c r="F6" s="218">
        <v>2022</v>
      </c>
      <c r="G6" s="218">
        <v>2023</v>
      </c>
      <c r="H6" s="218">
        <v>2024</v>
      </c>
      <c r="I6" s="206" t="str">
        <f>CONCATENATE("var. ",RIGHT(H6,2),"/",RIGHT(G6,2))</f>
        <v>var. 24/23</v>
      </c>
      <c r="J6" s="206" t="str">
        <f>CONCATENATE("var. ",RIGHT(H6,2),"/",RIGHT(E6,2))</f>
        <v>var. 24/21</v>
      </c>
      <c r="K6" s="205" t="str">
        <f>CONCATENATE("dif. ",RIGHT(H6,2),"/",RIGHT(G6,2))</f>
        <v>dif. 24/23</v>
      </c>
      <c r="L6" s="205" t="str">
        <f>CONCATENATE("dif. ",RIGHT(H6,2),"/",RIGHT(E6,2))</f>
        <v>dif. 24/21</v>
      </c>
      <c r="M6" s="206" t="str">
        <f>CONCATENATE("Cuota s/ total lugares de residencia ",RIGHT(H6,4))</f>
        <v>Cuota s/ total lugares de residencia 2024</v>
      </c>
    </row>
    <row r="7" spans="1:14" s="177" customFormat="1" x14ac:dyDescent="0.25"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</row>
    <row r="8" spans="1:14" x14ac:dyDescent="0.25">
      <c r="A8" s="1">
        <v>3</v>
      </c>
      <c r="B8" s="187" t="s">
        <v>70</v>
      </c>
      <c r="C8" s="209">
        <v>34034766</v>
      </c>
      <c r="D8" s="209">
        <v>10243785</v>
      </c>
      <c r="E8" s="209">
        <v>13903380</v>
      </c>
      <c r="F8" s="209">
        <v>31405937</v>
      </c>
      <c r="G8" s="209">
        <v>34509923</v>
      </c>
      <c r="H8" s="209">
        <v>36076748</v>
      </c>
      <c r="I8" s="210">
        <f>IFERROR(H8/G8-1,"-")</f>
        <v>4.540215867766495E-2</v>
      </c>
      <c r="J8" s="210">
        <f>IFERROR(H8/E8-1,"-")</f>
        <v>1.5948185261425638</v>
      </c>
      <c r="K8" s="209">
        <f>H8-G8</f>
        <v>1566825</v>
      </c>
      <c r="L8" s="209">
        <f>H8-E8</f>
        <v>22173368</v>
      </c>
      <c r="M8" s="210">
        <f>H8/H$8</f>
        <v>1</v>
      </c>
      <c r="N8" s="103"/>
    </row>
    <row r="9" spans="1:14" x14ac:dyDescent="0.25">
      <c r="A9" s="1" t="s">
        <v>98</v>
      </c>
      <c r="B9" s="190" t="s">
        <v>99</v>
      </c>
      <c r="C9" s="191">
        <v>4613933</v>
      </c>
      <c r="D9" s="191">
        <v>1666329</v>
      </c>
      <c r="E9" s="191">
        <v>2851484</v>
      </c>
      <c r="F9" s="191">
        <v>4154268</v>
      </c>
      <c r="G9" s="191">
        <v>4256196</v>
      </c>
      <c r="H9" s="191">
        <v>4222474</v>
      </c>
      <c r="I9" s="192">
        <f>IFERROR(H9/G9-1,"-")</f>
        <v>-7.9230373789177522E-3</v>
      </c>
      <c r="J9" s="211">
        <f t="shared" ref="J9:J20" si="0">IFERROR(H9/E9-1,"-")</f>
        <v>0.48079877004394911</v>
      </c>
      <c r="K9" s="191">
        <f t="shared" ref="K9:K19" si="1">H9-G9</f>
        <v>-33722</v>
      </c>
      <c r="L9" s="191">
        <f t="shared" ref="L9:L20" si="2">H9-E9</f>
        <v>1370990</v>
      </c>
      <c r="M9" s="192">
        <f>H9/H$8</f>
        <v>0.11704142513066865</v>
      </c>
      <c r="N9" s="103"/>
    </row>
    <row r="10" spans="1:14" x14ac:dyDescent="0.25">
      <c r="A10" s="193" t="s">
        <v>105</v>
      </c>
      <c r="B10" s="194" t="s">
        <v>105</v>
      </c>
      <c r="C10" s="195">
        <v>1301233</v>
      </c>
      <c r="D10" s="195">
        <v>564792</v>
      </c>
      <c r="E10" s="195">
        <v>1116779</v>
      </c>
      <c r="F10" s="195">
        <v>1214668</v>
      </c>
      <c r="G10" s="195">
        <v>1317693</v>
      </c>
      <c r="H10" s="195">
        <v>1326202</v>
      </c>
      <c r="I10" s="196">
        <f>IFERROR(H10/G10-1,"-")</f>
        <v>6.4574980666969317E-3</v>
      </c>
      <c r="J10" s="212">
        <f t="shared" si="0"/>
        <v>0.18752412070785707</v>
      </c>
      <c r="K10" s="195">
        <f t="shared" si="1"/>
        <v>8509</v>
      </c>
      <c r="L10" s="195">
        <f t="shared" si="2"/>
        <v>209423</v>
      </c>
      <c r="M10" s="196">
        <f>H10/H$8</f>
        <v>3.676057498308883E-2</v>
      </c>
      <c r="N10" s="103"/>
    </row>
    <row r="11" spans="1:14" x14ac:dyDescent="0.25">
      <c r="A11" s="193" t="s">
        <v>102</v>
      </c>
      <c r="B11" s="194" t="s">
        <v>102</v>
      </c>
      <c r="C11" s="195">
        <v>3312700</v>
      </c>
      <c r="D11" s="195">
        <v>1101537</v>
      </c>
      <c r="E11" s="195">
        <v>1734705</v>
      </c>
      <c r="F11" s="195">
        <v>2939600</v>
      </c>
      <c r="G11" s="195">
        <v>2938503</v>
      </c>
      <c r="H11" s="195">
        <v>2896272</v>
      </c>
      <c r="I11" s="196">
        <f>IFERROR(H11/G11-1,"-")</f>
        <v>-1.4371603500149543E-2</v>
      </c>
      <c r="J11" s="212">
        <f t="shared" si="0"/>
        <v>0.66960491841552305</v>
      </c>
      <c r="K11" s="195">
        <f t="shared" si="1"/>
        <v>-42231</v>
      </c>
      <c r="L11" s="195">
        <f t="shared" si="2"/>
        <v>1161567</v>
      </c>
      <c r="M11" s="196">
        <f>H11/H$8</f>
        <v>8.0280850147579824E-2</v>
      </c>
      <c r="N11" s="103"/>
    </row>
    <row r="12" spans="1:14" x14ac:dyDescent="0.25">
      <c r="A12" s="1"/>
      <c r="B12" s="190" t="s">
        <v>109</v>
      </c>
      <c r="C12" s="191">
        <v>29420833</v>
      </c>
      <c r="D12" s="191">
        <v>8577456</v>
      </c>
      <c r="E12" s="191">
        <v>11051896</v>
      </c>
      <c r="F12" s="191">
        <v>27251669</v>
      </c>
      <c r="G12" s="191">
        <v>30253727</v>
      </c>
      <c r="H12" s="191">
        <v>31854274</v>
      </c>
      <c r="I12" s="192">
        <f>IFERROR(H12/G12-1,"-")</f>
        <v>5.2904126489936365E-2</v>
      </c>
      <c r="J12" s="211">
        <f t="shared" si="0"/>
        <v>1.8822451821841248</v>
      </c>
      <c r="K12" s="191">
        <f t="shared" si="1"/>
        <v>1600547</v>
      </c>
      <c r="L12" s="191">
        <f t="shared" si="2"/>
        <v>20802378</v>
      </c>
      <c r="M12" s="192">
        <f>H12/H$8</f>
        <v>0.88295857486933138</v>
      </c>
      <c r="N12" s="103"/>
    </row>
    <row r="13" spans="1:14" s="74" customFormat="1" x14ac:dyDescent="0.25">
      <c r="B13" s="194" t="s">
        <v>112</v>
      </c>
      <c r="C13" s="195">
        <v>13160030</v>
      </c>
      <c r="D13" s="195">
        <v>3390819</v>
      </c>
      <c r="E13" s="195">
        <v>3350798</v>
      </c>
      <c r="F13" s="195">
        <v>12657617</v>
      </c>
      <c r="G13" s="195">
        <v>13883101</v>
      </c>
      <c r="H13" s="195">
        <v>14673664</v>
      </c>
      <c r="I13" s="196">
        <f t="shared" ref="I13:I20" si="3">IFERROR(H13/G13-1,"-")</f>
        <v>5.6944266270194221E-2</v>
      </c>
      <c r="J13" s="212">
        <f t="shared" si="0"/>
        <v>3.3791550550048077</v>
      </c>
      <c r="K13" s="195">
        <f t="shared" si="1"/>
        <v>790563</v>
      </c>
      <c r="L13" s="195">
        <f t="shared" si="2"/>
        <v>11322866</v>
      </c>
      <c r="M13" s="196">
        <f t="shared" ref="M13:M20" si="4">H13/H$8</f>
        <v>0.40673466466545155</v>
      </c>
      <c r="N13" s="197"/>
    </row>
    <row r="14" spans="1:14" s="74" customFormat="1" x14ac:dyDescent="0.25">
      <c r="B14" s="194" t="s">
        <v>115</v>
      </c>
      <c r="C14" s="195">
        <v>4424103</v>
      </c>
      <c r="D14" s="195">
        <v>1278654</v>
      </c>
      <c r="E14" s="195">
        <v>1806937</v>
      </c>
      <c r="F14" s="195">
        <v>3169256</v>
      </c>
      <c r="G14" s="195">
        <v>3598054</v>
      </c>
      <c r="H14" s="195">
        <v>3756774</v>
      </c>
      <c r="I14" s="196">
        <f t="shared" si="3"/>
        <v>4.4112734272470533E-2</v>
      </c>
      <c r="J14" s="212">
        <f t="shared" si="0"/>
        <v>1.0790841075256083</v>
      </c>
      <c r="K14" s="195">
        <f t="shared" si="1"/>
        <v>158720</v>
      </c>
      <c r="L14" s="195">
        <f t="shared" si="2"/>
        <v>1949837</v>
      </c>
      <c r="M14" s="196">
        <f t="shared" si="4"/>
        <v>0.10413283370219512</v>
      </c>
      <c r="N14" s="197"/>
    </row>
    <row r="15" spans="1:14" x14ac:dyDescent="0.25">
      <c r="A15" s="1"/>
      <c r="B15" s="194" t="s">
        <v>118</v>
      </c>
      <c r="C15" s="195">
        <v>1180822</v>
      </c>
      <c r="D15" s="195">
        <v>395218</v>
      </c>
      <c r="E15" s="195">
        <v>815902</v>
      </c>
      <c r="F15" s="195">
        <v>1288352</v>
      </c>
      <c r="G15" s="195">
        <v>1520450</v>
      </c>
      <c r="H15" s="195">
        <v>1590542</v>
      </c>
      <c r="I15" s="196">
        <f t="shared" si="3"/>
        <v>4.6099510013482892E-2</v>
      </c>
      <c r="J15" s="212">
        <f t="shared" si="0"/>
        <v>0.94942774990133616</v>
      </c>
      <c r="K15" s="195">
        <f t="shared" si="1"/>
        <v>70092</v>
      </c>
      <c r="L15" s="195">
        <f t="shared" si="2"/>
        <v>774640</v>
      </c>
      <c r="M15" s="196">
        <f t="shared" si="4"/>
        <v>4.408773207607293E-2</v>
      </c>
      <c r="N15" s="103"/>
    </row>
    <row r="16" spans="1:14" x14ac:dyDescent="0.25">
      <c r="A16" s="1"/>
      <c r="B16" s="194" t="s">
        <v>125</v>
      </c>
      <c r="C16" s="195">
        <v>1116998</v>
      </c>
      <c r="D16" s="195">
        <v>302698</v>
      </c>
      <c r="E16" s="195">
        <v>691981</v>
      </c>
      <c r="F16" s="195">
        <v>1287744</v>
      </c>
      <c r="G16" s="195">
        <v>1318357</v>
      </c>
      <c r="H16" s="195">
        <v>1375692</v>
      </c>
      <c r="I16" s="196">
        <f t="shared" si="3"/>
        <v>4.3489737605216128E-2</v>
      </c>
      <c r="J16" s="212">
        <f t="shared" si="0"/>
        <v>0.98804880480822455</v>
      </c>
      <c r="K16" s="195">
        <f t="shared" si="1"/>
        <v>57335</v>
      </c>
      <c r="L16" s="195">
        <f t="shared" si="2"/>
        <v>683711</v>
      </c>
      <c r="M16" s="196">
        <f t="shared" si="4"/>
        <v>3.8132372685032473E-2</v>
      </c>
      <c r="N16" s="103"/>
    </row>
    <row r="17" spans="1:14" x14ac:dyDescent="0.25">
      <c r="A17" s="1"/>
      <c r="B17" s="194" t="s">
        <v>121</v>
      </c>
      <c r="C17" s="195">
        <v>1084813</v>
      </c>
      <c r="D17" s="195">
        <v>443857</v>
      </c>
      <c r="E17" s="195">
        <v>726467</v>
      </c>
      <c r="F17" s="195">
        <v>1124652</v>
      </c>
      <c r="G17" s="195">
        <v>1172687</v>
      </c>
      <c r="H17" s="195">
        <v>1202962</v>
      </c>
      <c r="I17" s="196">
        <f t="shared" si="3"/>
        <v>2.5816778049044586E-2</v>
      </c>
      <c r="J17" s="212">
        <f t="shared" si="0"/>
        <v>0.65590728828701095</v>
      </c>
      <c r="K17" s="195">
        <f t="shared" si="1"/>
        <v>30275</v>
      </c>
      <c r="L17" s="195">
        <f t="shared" si="2"/>
        <v>476495</v>
      </c>
      <c r="M17" s="196">
        <f t="shared" si="4"/>
        <v>3.3344524290271398E-2</v>
      </c>
      <c r="N17" s="103"/>
    </row>
    <row r="18" spans="1:14" x14ac:dyDescent="0.25">
      <c r="A18" s="1"/>
      <c r="B18" s="194" t="s">
        <v>130</v>
      </c>
      <c r="C18" s="195">
        <v>594834</v>
      </c>
      <c r="D18" s="195">
        <v>241432</v>
      </c>
      <c r="E18" s="195">
        <v>191434</v>
      </c>
      <c r="F18" s="195">
        <v>491173</v>
      </c>
      <c r="G18" s="195">
        <v>523681</v>
      </c>
      <c r="H18" s="195">
        <v>511763</v>
      </c>
      <c r="I18" s="196">
        <f t="shared" si="3"/>
        <v>-2.2758129471949551E-2</v>
      </c>
      <c r="J18" s="212">
        <f t="shared" si="0"/>
        <v>1.6733129956016173</v>
      </c>
      <c r="K18" s="195">
        <f t="shared" si="1"/>
        <v>-11918</v>
      </c>
      <c r="L18" s="195">
        <f t="shared" si="2"/>
        <v>320329</v>
      </c>
      <c r="M18" s="196">
        <f t="shared" si="4"/>
        <v>1.4185397198217533E-2</v>
      </c>
      <c r="N18" s="103"/>
    </row>
    <row r="19" spans="1:14" x14ac:dyDescent="0.25">
      <c r="A19" s="193" t="s">
        <v>146</v>
      </c>
      <c r="B19" s="194" t="s">
        <v>133</v>
      </c>
      <c r="C19" s="195">
        <v>847396</v>
      </c>
      <c r="D19" s="195">
        <v>356220</v>
      </c>
      <c r="E19" s="195">
        <v>171613</v>
      </c>
      <c r="F19" s="195">
        <v>432862</v>
      </c>
      <c r="G19" s="195">
        <v>543249</v>
      </c>
      <c r="H19" s="195">
        <v>528059</v>
      </c>
      <c r="I19" s="196">
        <f t="shared" si="3"/>
        <v>-2.796139523496588E-2</v>
      </c>
      <c r="J19" s="212">
        <f t="shared" si="0"/>
        <v>2.0770337911463583</v>
      </c>
      <c r="K19" s="195">
        <f t="shared" si="1"/>
        <v>-15190</v>
      </c>
      <c r="L19" s="195">
        <f t="shared" si="2"/>
        <v>356446</v>
      </c>
      <c r="M19" s="196">
        <f t="shared" si="4"/>
        <v>1.463710088281793E-2</v>
      </c>
      <c r="N19" s="103"/>
    </row>
    <row r="20" spans="1:14" x14ac:dyDescent="0.25">
      <c r="A20" s="198" t="s">
        <v>147</v>
      </c>
      <c r="B20" s="199" t="s">
        <v>147</v>
      </c>
      <c r="C20" s="200">
        <f t="shared" ref="C20" si="5">C12-SUM(C13:C19)</f>
        <v>7011837</v>
      </c>
      <c r="D20" s="200">
        <f t="shared" ref="D20:H20" si="6">D12-SUM(D13:D19)</f>
        <v>2168558</v>
      </c>
      <c r="E20" s="200">
        <f t="shared" si="6"/>
        <v>3296764</v>
      </c>
      <c r="F20" s="200">
        <f t="shared" si="6"/>
        <v>6800013</v>
      </c>
      <c r="G20" s="200">
        <f t="shared" si="6"/>
        <v>7694148</v>
      </c>
      <c r="H20" s="200">
        <f t="shared" si="6"/>
        <v>8214818</v>
      </c>
      <c r="I20" s="201">
        <f t="shared" si="3"/>
        <v>6.7670910411393281E-2</v>
      </c>
      <c r="J20" s="213">
        <f t="shared" si="0"/>
        <v>1.4917822446496021</v>
      </c>
      <c r="K20" s="200">
        <f>H20-G20</f>
        <v>520670</v>
      </c>
      <c r="L20" s="200">
        <f t="shared" si="2"/>
        <v>4918054</v>
      </c>
      <c r="M20" s="201">
        <f t="shared" si="4"/>
        <v>0.22770394936927241</v>
      </c>
      <c r="N20" s="103"/>
    </row>
    <row r="21" spans="1:14" s="177" customFormat="1" x14ac:dyDescent="0.25"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</row>
    <row r="22" spans="1:14" x14ac:dyDescent="0.25">
      <c r="A22" s="1">
        <v>3</v>
      </c>
      <c r="B22" s="187" t="s">
        <v>70</v>
      </c>
      <c r="C22" s="209">
        <v>13105945</v>
      </c>
      <c r="D22" s="209">
        <v>3913809</v>
      </c>
      <c r="E22" s="209">
        <v>5763674</v>
      </c>
      <c r="F22" s="209">
        <v>12632387</v>
      </c>
      <c r="G22" s="209">
        <v>13590517</v>
      </c>
      <c r="H22" s="209">
        <v>13839613</v>
      </c>
      <c r="I22" s="210">
        <f>IFERROR(H22/G22-1,"-")</f>
        <v>1.8328662551983843E-2</v>
      </c>
      <c r="J22" s="210">
        <f>IFERROR(H22/E22-1,"-")</f>
        <v>1.4011790049194315</v>
      </c>
      <c r="K22" s="209">
        <f>H22-G22</f>
        <v>249096</v>
      </c>
      <c r="L22" s="209">
        <f>H22-E22</f>
        <v>8075939</v>
      </c>
      <c r="M22" s="210">
        <f>H22/H$8</f>
        <v>0.38361586803777326</v>
      </c>
      <c r="N22" s="103"/>
    </row>
    <row r="23" spans="1:14" x14ac:dyDescent="0.25">
      <c r="A23" s="1" t="s">
        <v>98</v>
      </c>
      <c r="B23" s="190" t="s">
        <v>99</v>
      </c>
      <c r="C23" s="191">
        <v>1013579</v>
      </c>
      <c r="D23" s="191">
        <v>419753</v>
      </c>
      <c r="E23" s="191">
        <v>926094</v>
      </c>
      <c r="F23" s="191">
        <v>924124</v>
      </c>
      <c r="G23" s="191">
        <v>817242</v>
      </c>
      <c r="H23" s="191">
        <v>742610</v>
      </c>
      <c r="I23" s="192">
        <f>IFERROR(H23/G23-1,"-")</f>
        <v>-9.132178718176498E-2</v>
      </c>
      <c r="J23" s="211">
        <f t="shared" ref="J23:J34" si="7">IFERROR(H23/E23-1,"-")</f>
        <v>-0.19812675603124519</v>
      </c>
      <c r="K23" s="191">
        <f t="shared" ref="K23:K33" si="8">H23-G23</f>
        <v>-74632</v>
      </c>
      <c r="L23" s="191">
        <f t="shared" ref="L23:L34" si="9">H23-E23</f>
        <v>-183484</v>
      </c>
      <c r="M23" s="192">
        <f>H23/H$8</f>
        <v>2.0584172387156402E-2</v>
      </c>
      <c r="N23" s="103"/>
    </row>
    <row r="24" spans="1:14" x14ac:dyDescent="0.25">
      <c r="A24" s="193" t="s">
        <v>105</v>
      </c>
      <c r="B24" s="194" t="s">
        <v>105</v>
      </c>
      <c r="C24" s="195">
        <v>409352</v>
      </c>
      <c r="D24" s="195">
        <v>197437</v>
      </c>
      <c r="E24" s="195">
        <v>341894</v>
      </c>
      <c r="F24" s="195">
        <v>286571</v>
      </c>
      <c r="G24" s="195">
        <v>256506</v>
      </c>
      <c r="H24" s="195">
        <v>219209</v>
      </c>
      <c r="I24" s="196">
        <f>IFERROR(H24/G24-1,"-")</f>
        <v>-0.14540400614410576</v>
      </c>
      <c r="J24" s="212">
        <f t="shared" si="7"/>
        <v>-0.35883928937038967</v>
      </c>
      <c r="K24" s="195">
        <f t="shared" si="8"/>
        <v>-37297</v>
      </c>
      <c r="L24" s="195">
        <f t="shared" si="9"/>
        <v>-122685</v>
      </c>
      <c r="M24" s="196">
        <f>H24/H$8</f>
        <v>6.0761851373078305E-3</v>
      </c>
      <c r="N24" s="103"/>
    </row>
    <row r="25" spans="1:14" x14ac:dyDescent="0.25">
      <c r="A25" s="193" t="s">
        <v>102</v>
      </c>
      <c r="B25" s="194" t="s">
        <v>102</v>
      </c>
      <c r="C25" s="195">
        <v>604227</v>
      </c>
      <c r="D25" s="195">
        <v>222316</v>
      </c>
      <c r="E25" s="195">
        <v>584200</v>
      </c>
      <c r="F25" s="195">
        <v>637553</v>
      </c>
      <c r="G25" s="195">
        <v>560736</v>
      </c>
      <c r="H25" s="195">
        <v>523401</v>
      </c>
      <c r="I25" s="196">
        <f>IFERROR(H25/G25-1,"-")</f>
        <v>-6.6582134908406143E-2</v>
      </c>
      <c r="J25" s="212">
        <f t="shared" si="7"/>
        <v>-0.10407223553577538</v>
      </c>
      <c r="K25" s="195">
        <f t="shared" si="8"/>
        <v>-37335</v>
      </c>
      <c r="L25" s="195">
        <f t="shared" si="9"/>
        <v>-60799</v>
      </c>
      <c r="M25" s="196">
        <f>H25/H$8</f>
        <v>1.4507987249848572E-2</v>
      </c>
      <c r="N25" s="103"/>
    </row>
    <row r="26" spans="1:14" x14ac:dyDescent="0.25">
      <c r="A26" s="1"/>
      <c r="B26" s="190" t="s">
        <v>109</v>
      </c>
      <c r="C26" s="191">
        <v>12092366</v>
      </c>
      <c r="D26" s="191">
        <v>3494056</v>
      </c>
      <c r="E26" s="191">
        <v>4837580</v>
      </c>
      <c r="F26" s="191">
        <v>11708263</v>
      </c>
      <c r="G26" s="191">
        <v>12773275</v>
      </c>
      <c r="H26" s="191">
        <v>13097003</v>
      </c>
      <c r="I26" s="192">
        <f>IFERROR(H26/G26-1,"-")</f>
        <v>2.5344165846268973E-2</v>
      </c>
      <c r="J26" s="211">
        <f t="shared" si="7"/>
        <v>1.7073460283860937</v>
      </c>
      <c r="K26" s="191">
        <f t="shared" si="8"/>
        <v>323728</v>
      </c>
      <c r="L26" s="191">
        <f t="shared" si="9"/>
        <v>8259423</v>
      </c>
      <c r="M26" s="192">
        <f>H26/H$8</f>
        <v>0.36303169565061683</v>
      </c>
      <c r="N26" s="103"/>
    </row>
    <row r="27" spans="1:14" s="74" customFormat="1" x14ac:dyDescent="0.25">
      <c r="B27" s="194" t="s">
        <v>112</v>
      </c>
      <c r="C27" s="195">
        <v>5650065</v>
      </c>
      <c r="D27" s="195">
        <v>1483938</v>
      </c>
      <c r="E27" s="195">
        <v>1575483</v>
      </c>
      <c r="F27" s="195">
        <v>5839663</v>
      </c>
      <c r="G27" s="195">
        <v>6456134</v>
      </c>
      <c r="H27" s="195">
        <v>6689570</v>
      </c>
      <c r="I27" s="196">
        <f t="shared" ref="I27:I34" si="10">IFERROR(H27/G27-1,"-")</f>
        <v>3.6157242089460917E-2</v>
      </c>
      <c r="J27" s="212">
        <f t="shared" si="7"/>
        <v>3.2460439116131372</v>
      </c>
      <c r="K27" s="195">
        <f t="shared" si="8"/>
        <v>233436</v>
      </c>
      <c r="L27" s="195">
        <f t="shared" si="9"/>
        <v>5114087</v>
      </c>
      <c r="M27" s="196">
        <f t="shared" ref="M27:M34" si="11">H27/H$8</f>
        <v>0.1854260810869095</v>
      </c>
      <c r="N27" s="197"/>
    </row>
    <row r="28" spans="1:14" s="74" customFormat="1" x14ac:dyDescent="0.25">
      <c r="B28" s="194" t="s">
        <v>115</v>
      </c>
      <c r="C28" s="195">
        <v>1813831</v>
      </c>
      <c r="D28" s="195">
        <v>510569</v>
      </c>
      <c r="E28" s="195">
        <v>851193</v>
      </c>
      <c r="F28" s="195">
        <v>1420539</v>
      </c>
      <c r="G28" s="195">
        <v>1496214</v>
      </c>
      <c r="H28" s="195">
        <v>1483358</v>
      </c>
      <c r="I28" s="196">
        <f t="shared" si="10"/>
        <v>-8.5923537675760553E-3</v>
      </c>
      <c r="J28" s="212">
        <f t="shared" si="7"/>
        <v>0.7426811545677654</v>
      </c>
      <c r="K28" s="195">
        <f t="shared" si="8"/>
        <v>-12856</v>
      </c>
      <c r="L28" s="195">
        <f t="shared" si="9"/>
        <v>632165</v>
      </c>
      <c r="M28" s="196">
        <f t="shared" si="11"/>
        <v>4.111673258354661E-2</v>
      </c>
      <c r="N28" s="197"/>
    </row>
    <row r="29" spans="1:14" x14ac:dyDescent="0.25">
      <c r="A29" s="1"/>
      <c r="B29" s="194" t="s">
        <v>118</v>
      </c>
      <c r="C29" s="195">
        <v>428540</v>
      </c>
      <c r="D29" s="195">
        <v>173273</v>
      </c>
      <c r="E29" s="195">
        <v>321437</v>
      </c>
      <c r="F29" s="195">
        <v>466813</v>
      </c>
      <c r="G29" s="195">
        <v>535409</v>
      </c>
      <c r="H29" s="195">
        <v>462244</v>
      </c>
      <c r="I29" s="196">
        <f t="shared" si="10"/>
        <v>-0.13665254039435271</v>
      </c>
      <c r="J29" s="212">
        <f t="shared" si="7"/>
        <v>0.43805473545360374</v>
      </c>
      <c r="K29" s="195">
        <f t="shared" si="8"/>
        <v>-73165</v>
      </c>
      <c r="L29" s="195">
        <f t="shared" si="9"/>
        <v>140807</v>
      </c>
      <c r="M29" s="196">
        <f t="shared" si="11"/>
        <v>1.281279565441985E-2</v>
      </c>
      <c r="N29" s="103"/>
    </row>
    <row r="30" spans="1:14" x14ac:dyDescent="0.25">
      <c r="A30" s="1"/>
      <c r="B30" s="194" t="s">
        <v>125</v>
      </c>
      <c r="C30" s="195">
        <v>502164</v>
      </c>
      <c r="D30" s="195">
        <v>134940</v>
      </c>
      <c r="E30" s="195">
        <v>321774</v>
      </c>
      <c r="F30" s="195">
        <v>583899</v>
      </c>
      <c r="G30" s="195">
        <v>553235</v>
      </c>
      <c r="H30" s="195">
        <v>562616</v>
      </c>
      <c r="I30" s="196">
        <f t="shared" si="10"/>
        <v>1.695662783446461E-2</v>
      </c>
      <c r="J30" s="212">
        <f t="shared" si="7"/>
        <v>0.7484818537234208</v>
      </c>
      <c r="K30" s="195">
        <f t="shared" si="8"/>
        <v>9381</v>
      </c>
      <c r="L30" s="195">
        <f t="shared" si="9"/>
        <v>240842</v>
      </c>
      <c r="M30" s="196">
        <f t="shared" si="11"/>
        <v>1.5594975467300988E-2</v>
      </c>
      <c r="N30" s="103"/>
    </row>
    <row r="31" spans="1:14" x14ac:dyDescent="0.25">
      <c r="A31" s="1"/>
      <c r="B31" s="194" t="s">
        <v>121</v>
      </c>
      <c r="C31" s="195">
        <v>566275</v>
      </c>
      <c r="D31" s="195">
        <v>241515</v>
      </c>
      <c r="E31" s="195">
        <v>414396</v>
      </c>
      <c r="F31" s="195">
        <v>639629</v>
      </c>
      <c r="G31" s="195">
        <v>619738</v>
      </c>
      <c r="H31" s="195">
        <v>632422</v>
      </c>
      <c r="I31" s="196">
        <f t="shared" si="10"/>
        <v>2.0466713353062049E-2</v>
      </c>
      <c r="J31" s="212">
        <f t="shared" si="7"/>
        <v>0.52612959584551966</v>
      </c>
      <c r="K31" s="195">
        <f t="shared" si="8"/>
        <v>12684</v>
      </c>
      <c r="L31" s="195">
        <f t="shared" si="9"/>
        <v>218026</v>
      </c>
      <c r="M31" s="196">
        <f t="shared" si="11"/>
        <v>1.7529905966025539E-2</v>
      </c>
      <c r="N31" s="103"/>
    </row>
    <row r="32" spans="1:14" x14ac:dyDescent="0.25">
      <c r="A32" s="1"/>
      <c r="B32" s="194" t="s">
        <v>130</v>
      </c>
      <c r="C32" s="195">
        <v>242464</v>
      </c>
      <c r="D32" s="195">
        <v>95128</v>
      </c>
      <c r="E32" s="195">
        <v>58069</v>
      </c>
      <c r="F32" s="195">
        <v>177706</v>
      </c>
      <c r="G32" s="195">
        <v>184473</v>
      </c>
      <c r="H32" s="195">
        <v>184792</v>
      </c>
      <c r="I32" s="196">
        <f t="shared" si="10"/>
        <v>1.7292503509998003E-3</v>
      </c>
      <c r="J32" s="212">
        <f t="shared" si="7"/>
        <v>2.1822831459126211</v>
      </c>
      <c r="K32" s="195">
        <f t="shared" si="8"/>
        <v>319</v>
      </c>
      <c r="L32" s="195">
        <f t="shared" si="9"/>
        <v>126723</v>
      </c>
      <c r="M32" s="196">
        <f t="shared" si="11"/>
        <v>5.122191168671855E-3</v>
      </c>
      <c r="N32" s="103"/>
    </row>
    <row r="33" spans="1:14" x14ac:dyDescent="0.25">
      <c r="A33" s="193" t="s">
        <v>146</v>
      </c>
      <c r="B33" s="194" t="s">
        <v>133</v>
      </c>
      <c r="C33" s="195">
        <v>276453</v>
      </c>
      <c r="D33" s="195">
        <v>106598</v>
      </c>
      <c r="E33" s="195">
        <v>43884</v>
      </c>
      <c r="F33" s="195">
        <v>147837</v>
      </c>
      <c r="G33" s="195">
        <v>187545</v>
      </c>
      <c r="H33" s="195">
        <v>166807</v>
      </c>
      <c r="I33" s="196">
        <f t="shared" si="10"/>
        <v>-0.11057612839585163</v>
      </c>
      <c r="J33" s="212">
        <f t="shared" si="7"/>
        <v>2.8010892352565855</v>
      </c>
      <c r="K33" s="195">
        <f t="shared" si="8"/>
        <v>-20738</v>
      </c>
      <c r="L33" s="195">
        <f t="shared" si="9"/>
        <v>122923</v>
      </c>
      <c r="M33" s="196">
        <f t="shared" si="11"/>
        <v>4.6236706257448707E-3</v>
      </c>
      <c r="N33" s="103"/>
    </row>
    <row r="34" spans="1:14" x14ac:dyDescent="0.25">
      <c r="A34" s="198" t="s">
        <v>147</v>
      </c>
      <c r="B34" s="199" t="s">
        <v>147</v>
      </c>
      <c r="C34" s="200">
        <f t="shared" ref="C34" si="12">C26-SUM(C27:C33)</f>
        <v>2612574</v>
      </c>
      <c r="D34" s="200">
        <f t="shared" ref="D34:H34" si="13">D26-SUM(D27:D33)</f>
        <v>748095</v>
      </c>
      <c r="E34" s="200">
        <f t="shared" si="13"/>
        <v>1251344</v>
      </c>
      <c r="F34" s="200">
        <f t="shared" si="13"/>
        <v>2432177</v>
      </c>
      <c r="G34" s="200">
        <f t="shared" si="13"/>
        <v>2740527</v>
      </c>
      <c r="H34" s="200">
        <f t="shared" si="13"/>
        <v>2915194</v>
      </c>
      <c r="I34" s="201">
        <f t="shared" si="10"/>
        <v>6.3734821806170849E-2</v>
      </c>
      <c r="J34" s="213">
        <f t="shared" si="7"/>
        <v>1.3296503599329998</v>
      </c>
      <c r="K34" s="200">
        <f>H34-G34</f>
        <v>174667</v>
      </c>
      <c r="L34" s="200">
        <f t="shared" si="9"/>
        <v>1663850</v>
      </c>
      <c r="M34" s="201">
        <f t="shared" si="11"/>
        <v>8.0805343097997639E-2</v>
      </c>
      <c r="N34" s="103"/>
    </row>
    <row r="35" spans="1:14" s="177" customFormat="1" x14ac:dyDescent="0.25"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</row>
    <row r="36" spans="1:14" x14ac:dyDescent="0.25">
      <c r="A36" s="1">
        <v>3</v>
      </c>
      <c r="B36" s="187" t="s">
        <v>70</v>
      </c>
      <c r="C36" s="209">
        <v>10093577</v>
      </c>
      <c r="D36" s="209">
        <v>2858440</v>
      </c>
      <c r="E36" s="209">
        <v>3367162</v>
      </c>
      <c r="F36" s="209">
        <v>8865243</v>
      </c>
      <c r="G36" s="209">
        <v>9739308</v>
      </c>
      <c r="H36" s="209">
        <v>10014981</v>
      </c>
      <c r="I36" s="210">
        <f>IFERROR(H36/G36-1,"-")</f>
        <v>2.8305193757092395E-2</v>
      </c>
      <c r="J36" s="210">
        <f>IFERROR(H36/E36-1,"-")</f>
        <v>1.9743092253951549</v>
      </c>
      <c r="K36" s="209">
        <f>H36-G36</f>
        <v>275673</v>
      </c>
      <c r="L36" s="209">
        <f>H36-E36</f>
        <v>6647819</v>
      </c>
      <c r="M36" s="210">
        <f>H36/H$8</f>
        <v>0.2776020998344973</v>
      </c>
      <c r="N36" s="103"/>
    </row>
    <row r="37" spans="1:14" x14ac:dyDescent="0.25">
      <c r="A37" s="1" t="s">
        <v>98</v>
      </c>
      <c r="B37" s="190" t="s">
        <v>99</v>
      </c>
      <c r="C37" s="191">
        <v>614530</v>
      </c>
      <c r="D37" s="191">
        <v>241430</v>
      </c>
      <c r="E37" s="191">
        <v>350874</v>
      </c>
      <c r="F37" s="191">
        <v>513218</v>
      </c>
      <c r="G37" s="191">
        <v>576863</v>
      </c>
      <c r="H37" s="191">
        <v>551747</v>
      </c>
      <c r="I37" s="192">
        <f>IFERROR(H37/G37-1,"-")</f>
        <v>-4.3538933854312067E-2</v>
      </c>
      <c r="J37" s="211">
        <f t="shared" ref="J37:J48" si="14">IFERROR(H37/E37-1,"-")</f>
        <v>0.57249325968866316</v>
      </c>
      <c r="K37" s="191">
        <f t="shared" ref="K37:K47" si="15">H37-G37</f>
        <v>-25116</v>
      </c>
      <c r="L37" s="191">
        <f t="shared" ref="L37:L48" si="16">H37-E37</f>
        <v>200873</v>
      </c>
      <c r="M37" s="192">
        <f>H37/H$8</f>
        <v>1.529370108414428E-2</v>
      </c>
      <c r="N37" s="103"/>
    </row>
    <row r="38" spans="1:14" x14ac:dyDescent="0.25">
      <c r="A38" s="193" t="s">
        <v>105</v>
      </c>
      <c r="B38" s="194" t="s">
        <v>105</v>
      </c>
      <c r="C38" s="195">
        <v>210543</v>
      </c>
      <c r="D38" s="195">
        <v>92534</v>
      </c>
      <c r="E38" s="195">
        <v>131066</v>
      </c>
      <c r="F38" s="195">
        <v>155108</v>
      </c>
      <c r="G38" s="195">
        <v>218201</v>
      </c>
      <c r="H38" s="195">
        <v>239030</v>
      </c>
      <c r="I38" s="196">
        <f>IFERROR(H38/G38-1,"-")</f>
        <v>9.5457857663347134E-2</v>
      </c>
      <c r="J38" s="212">
        <f t="shared" si="14"/>
        <v>0.82373765888941453</v>
      </c>
      <c r="K38" s="195">
        <f t="shared" si="15"/>
        <v>20829</v>
      </c>
      <c r="L38" s="195">
        <f t="shared" si="16"/>
        <v>107964</v>
      </c>
      <c r="M38" s="196">
        <f>H38/H$8</f>
        <v>6.6255971852008395E-3</v>
      </c>
      <c r="N38" s="103"/>
    </row>
    <row r="39" spans="1:14" x14ac:dyDescent="0.25">
      <c r="A39" s="193" t="s">
        <v>102</v>
      </c>
      <c r="B39" s="194" t="s">
        <v>102</v>
      </c>
      <c r="C39" s="195">
        <v>403987</v>
      </c>
      <c r="D39" s="195">
        <v>148896</v>
      </c>
      <c r="E39" s="195">
        <v>219808</v>
      </c>
      <c r="F39" s="195">
        <v>358110</v>
      </c>
      <c r="G39" s="195">
        <v>358662</v>
      </c>
      <c r="H39" s="195">
        <v>312717</v>
      </c>
      <c r="I39" s="196">
        <f>IFERROR(H39/G39-1,"-")</f>
        <v>-0.1281011091222376</v>
      </c>
      <c r="J39" s="212">
        <f t="shared" si="14"/>
        <v>0.4226825229291018</v>
      </c>
      <c r="K39" s="195">
        <f t="shared" si="15"/>
        <v>-45945</v>
      </c>
      <c r="L39" s="195">
        <f t="shared" si="16"/>
        <v>92909</v>
      </c>
      <c r="M39" s="196">
        <f>H39/H$8</f>
        <v>8.6681038989434422E-3</v>
      </c>
      <c r="N39" s="103"/>
    </row>
    <row r="40" spans="1:14" x14ac:dyDescent="0.25">
      <c r="A40" s="1"/>
      <c r="B40" s="190" t="s">
        <v>109</v>
      </c>
      <c r="C40" s="191">
        <v>9479047</v>
      </c>
      <c r="D40" s="191">
        <v>2617010</v>
      </c>
      <c r="E40" s="191">
        <v>3016288</v>
      </c>
      <c r="F40" s="191">
        <v>8352025</v>
      </c>
      <c r="G40" s="191">
        <v>9162445</v>
      </c>
      <c r="H40" s="191">
        <v>9463234</v>
      </c>
      <c r="I40" s="192">
        <f>IFERROR(H40/G40-1,"-")</f>
        <v>3.2828464454629724E-2</v>
      </c>
      <c r="J40" s="211">
        <f t="shared" si="14"/>
        <v>2.1373774652818298</v>
      </c>
      <c r="K40" s="191">
        <f t="shared" si="15"/>
        <v>300789</v>
      </c>
      <c r="L40" s="191">
        <f t="shared" si="16"/>
        <v>6446946</v>
      </c>
      <c r="M40" s="192">
        <f>H40/H$8</f>
        <v>0.262308398750353</v>
      </c>
      <c r="N40" s="103"/>
    </row>
    <row r="41" spans="1:14" s="74" customFormat="1" x14ac:dyDescent="0.25">
      <c r="B41" s="194" t="s">
        <v>112</v>
      </c>
      <c r="C41" s="195">
        <v>5094935</v>
      </c>
      <c r="D41" s="195">
        <v>1173619</v>
      </c>
      <c r="E41" s="195">
        <v>1066343</v>
      </c>
      <c r="F41" s="195">
        <v>4256430</v>
      </c>
      <c r="G41" s="195">
        <v>4628153</v>
      </c>
      <c r="H41" s="195">
        <v>4858902</v>
      </c>
      <c r="I41" s="196">
        <f t="shared" ref="I41:I48" si="17">IFERROR(H41/G41-1,"-")</f>
        <v>4.9857686208731655E-2</v>
      </c>
      <c r="J41" s="212">
        <f t="shared" si="14"/>
        <v>3.5566032693045297</v>
      </c>
      <c r="K41" s="195">
        <f t="shared" si="15"/>
        <v>230749</v>
      </c>
      <c r="L41" s="195">
        <f t="shared" si="16"/>
        <v>3792559</v>
      </c>
      <c r="M41" s="196">
        <f t="shared" ref="M41:M48" si="18">H41/H$8</f>
        <v>0.13468237214728998</v>
      </c>
      <c r="N41" s="197"/>
    </row>
    <row r="42" spans="1:14" s="74" customFormat="1" x14ac:dyDescent="0.25">
      <c r="B42" s="194" t="s">
        <v>115</v>
      </c>
      <c r="C42" s="195">
        <v>470924</v>
      </c>
      <c r="D42" s="195">
        <v>139836</v>
      </c>
      <c r="E42" s="195">
        <v>174981</v>
      </c>
      <c r="F42" s="195">
        <v>311196</v>
      </c>
      <c r="G42" s="195">
        <v>358380</v>
      </c>
      <c r="H42" s="195">
        <v>358116</v>
      </c>
      <c r="I42" s="196">
        <f t="shared" si="17"/>
        <v>-7.3664825046038107E-4</v>
      </c>
      <c r="J42" s="212">
        <f t="shared" si="14"/>
        <v>1.0465993450717508</v>
      </c>
      <c r="K42" s="195">
        <f t="shared" si="15"/>
        <v>-264</v>
      </c>
      <c r="L42" s="195">
        <f t="shared" si="16"/>
        <v>183135</v>
      </c>
      <c r="M42" s="196">
        <f t="shared" si="18"/>
        <v>9.9265044620984125E-3</v>
      </c>
      <c r="N42" s="197"/>
    </row>
    <row r="43" spans="1:14" x14ac:dyDescent="0.25">
      <c r="A43" s="1"/>
      <c r="B43" s="194" t="s">
        <v>118</v>
      </c>
      <c r="C43" s="195">
        <v>178407</v>
      </c>
      <c r="D43" s="195">
        <v>67848</v>
      </c>
      <c r="E43" s="195">
        <v>127385</v>
      </c>
      <c r="F43" s="195">
        <v>198903</v>
      </c>
      <c r="G43" s="195">
        <v>247793</v>
      </c>
      <c r="H43" s="195">
        <v>245648</v>
      </c>
      <c r="I43" s="196">
        <f t="shared" si="17"/>
        <v>-8.6564188657468621E-3</v>
      </c>
      <c r="J43" s="212">
        <f t="shared" si="14"/>
        <v>0.92839031283118101</v>
      </c>
      <c r="K43" s="195">
        <f t="shared" si="15"/>
        <v>-2145</v>
      </c>
      <c r="L43" s="195">
        <f t="shared" si="16"/>
        <v>118263</v>
      </c>
      <c r="M43" s="196">
        <f t="shared" si="18"/>
        <v>6.8090394400293509E-3</v>
      </c>
      <c r="N43" s="103"/>
    </row>
    <row r="44" spans="1:14" x14ac:dyDescent="0.25">
      <c r="A44" s="1"/>
      <c r="B44" s="194" t="s">
        <v>125</v>
      </c>
      <c r="C44" s="195">
        <v>451476</v>
      </c>
      <c r="D44" s="195">
        <v>124287</v>
      </c>
      <c r="E44" s="195">
        <v>239923</v>
      </c>
      <c r="F44" s="195">
        <v>477050</v>
      </c>
      <c r="G44" s="195">
        <v>501096</v>
      </c>
      <c r="H44" s="195">
        <v>499671</v>
      </c>
      <c r="I44" s="196">
        <f t="shared" si="17"/>
        <v>-2.8437664639111571E-3</v>
      </c>
      <c r="J44" s="212">
        <f t="shared" si="14"/>
        <v>1.0826306773423138</v>
      </c>
      <c r="K44" s="195">
        <f t="shared" si="15"/>
        <v>-1425</v>
      </c>
      <c r="L44" s="195">
        <f t="shared" si="16"/>
        <v>259748</v>
      </c>
      <c r="M44" s="196">
        <f t="shared" si="18"/>
        <v>1.3850222863768098E-2</v>
      </c>
      <c r="N44" s="103"/>
    </row>
    <row r="45" spans="1:14" x14ac:dyDescent="0.25">
      <c r="A45" s="1"/>
      <c r="B45" s="194" t="s">
        <v>121</v>
      </c>
      <c r="C45" s="195">
        <v>353625</v>
      </c>
      <c r="D45" s="195">
        <v>131712</v>
      </c>
      <c r="E45" s="195">
        <v>184201</v>
      </c>
      <c r="F45" s="195">
        <v>318686</v>
      </c>
      <c r="G45" s="195">
        <v>374932</v>
      </c>
      <c r="H45" s="195">
        <v>372782</v>
      </c>
      <c r="I45" s="196">
        <f t="shared" si="17"/>
        <v>-5.7343731663341835E-3</v>
      </c>
      <c r="J45" s="212">
        <f t="shared" si="14"/>
        <v>1.0237783725386942</v>
      </c>
      <c r="K45" s="195">
        <f t="shared" si="15"/>
        <v>-2150</v>
      </c>
      <c r="L45" s="195">
        <f t="shared" si="16"/>
        <v>188581</v>
      </c>
      <c r="M45" s="196">
        <f t="shared" si="18"/>
        <v>1.0333026690764921E-2</v>
      </c>
      <c r="N45" s="103"/>
    </row>
    <row r="46" spans="1:14" x14ac:dyDescent="0.25">
      <c r="A46" s="1"/>
      <c r="B46" s="194" t="s">
        <v>130</v>
      </c>
      <c r="C46" s="195">
        <v>227686</v>
      </c>
      <c r="D46" s="195">
        <v>86739</v>
      </c>
      <c r="E46" s="195">
        <v>81833</v>
      </c>
      <c r="F46" s="195">
        <v>185692</v>
      </c>
      <c r="G46" s="195">
        <v>188339</v>
      </c>
      <c r="H46" s="195">
        <v>187108</v>
      </c>
      <c r="I46" s="196">
        <f t="shared" si="17"/>
        <v>-6.5360865248301758E-3</v>
      </c>
      <c r="J46" s="212">
        <f t="shared" si="14"/>
        <v>1.2864614519814745</v>
      </c>
      <c r="K46" s="195">
        <f t="shared" si="15"/>
        <v>-1231</v>
      </c>
      <c r="L46" s="195">
        <f t="shared" si="16"/>
        <v>105275</v>
      </c>
      <c r="M46" s="196">
        <f t="shared" si="18"/>
        <v>5.1863876422564474E-3</v>
      </c>
      <c r="N46" s="103"/>
    </row>
    <row r="47" spans="1:14" x14ac:dyDescent="0.25">
      <c r="A47" s="193" t="s">
        <v>146</v>
      </c>
      <c r="B47" s="194" t="s">
        <v>133</v>
      </c>
      <c r="C47" s="195">
        <v>366669</v>
      </c>
      <c r="D47" s="195">
        <v>150036</v>
      </c>
      <c r="E47" s="195">
        <v>88248</v>
      </c>
      <c r="F47" s="195">
        <v>188228</v>
      </c>
      <c r="G47" s="195">
        <v>224522</v>
      </c>
      <c r="H47" s="195">
        <v>217369</v>
      </c>
      <c r="I47" s="196">
        <f t="shared" si="17"/>
        <v>-3.1858793347645187E-2</v>
      </c>
      <c r="J47" s="212">
        <f t="shared" si="14"/>
        <v>1.4631606382014324</v>
      </c>
      <c r="K47" s="195">
        <f t="shared" si="15"/>
        <v>-7153</v>
      </c>
      <c r="L47" s="195">
        <f t="shared" si="16"/>
        <v>129121</v>
      </c>
      <c r="M47" s="196">
        <f t="shared" si="18"/>
        <v>6.0251827576033182E-3</v>
      </c>
      <c r="N47" s="103"/>
    </row>
    <row r="48" spans="1:14" x14ac:dyDescent="0.25">
      <c r="A48" s="198" t="s">
        <v>147</v>
      </c>
      <c r="B48" s="199" t="s">
        <v>147</v>
      </c>
      <c r="C48" s="200">
        <f t="shared" ref="C48:H48" si="19">C40-SUM(C41:C47)</f>
        <v>2335325</v>
      </c>
      <c r="D48" s="200">
        <f t="shared" si="19"/>
        <v>742933</v>
      </c>
      <c r="E48" s="200">
        <f t="shared" si="19"/>
        <v>1053374</v>
      </c>
      <c r="F48" s="200">
        <f t="shared" si="19"/>
        <v>2415840</v>
      </c>
      <c r="G48" s="200">
        <f t="shared" si="19"/>
        <v>2639230</v>
      </c>
      <c r="H48" s="200">
        <f t="shared" si="19"/>
        <v>2723638</v>
      </c>
      <c r="I48" s="201">
        <f t="shared" si="17"/>
        <v>3.1982055372210771E-2</v>
      </c>
      <c r="J48" s="213">
        <f t="shared" si="14"/>
        <v>1.5856324534305952</v>
      </c>
      <c r="K48" s="200">
        <f>H48-G48</f>
        <v>84408</v>
      </c>
      <c r="L48" s="200">
        <f t="shared" si="16"/>
        <v>1670264</v>
      </c>
      <c r="M48" s="201">
        <f t="shared" si="18"/>
        <v>7.5495662746542458E-2</v>
      </c>
      <c r="N48" s="103"/>
    </row>
    <row r="49" spans="1:14" s="177" customFormat="1" x14ac:dyDescent="0.25"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</row>
    <row r="50" spans="1:14" x14ac:dyDescent="0.25">
      <c r="A50" s="1">
        <v>3</v>
      </c>
      <c r="B50" s="187" t="s">
        <v>70</v>
      </c>
      <c r="C50" s="209">
        <v>234787</v>
      </c>
      <c r="D50" s="209">
        <v>65275</v>
      </c>
      <c r="E50" s="209">
        <v>98762</v>
      </c>
      <c r="F50" s="209">
        <v>168339</v>
      </c>
      <c r="G50" s="209">
        <v>182035</v>
      </c>
      <c r="H50" s="209">
        <v>194642</v>
      </c>
      <c r="I50" s="210">
        <f>IFERROR(H50/G50-1,"-")</f>
        <v>6.925591232455286E-2</v>
      </c>
      <c r="J50" s="210">
        <f>IFERROR(H50/E50-1,"-")</f>
        <v>0.97081873595107426</v>
      </c>
      <c r="K50" s="209">
        <f>H50-G50</f>
        <v>12607</v>
      </c>
      <c r="L50" s="209">
        <f>H50-E50</f>
        <v>95880</v>
      </c>
      <c r="M50" s="210">
        <f>H50/H$8</f>
        <v>5.3952202121987274E-3</v>
      </c>
      <c r="N50" s="103"/>
    </row>
    <row r="51" spans="1:14" x14ac:dyDescent="0.25">
      <c r="A51" s="1" t="s">
        <v>98</v>
      </c>
      <c r="B51" s="190" t="s">
        <v>99</v>
      </c>
      <c r="C51" s="191">
        <v>30969</v>
      </c>
      <c r="D51" s="191">
        <v>6950</v>
      </c>
      <c r="E51" s="191">
        <v>17286</v>
      </c>
      <c r="F51" s="191">
        <v>21218</v>
      </c>
      <c r="G51" s="191">
        <v>40235</v>
      </c>
      <c r="H51" s="191">
        <v>25819</v>
      </c>
      <c r="I51" s="192">
        <f>IFERROR(H51/G51-1,"-")</f>
        <v>-0.35829501677643838</v>
      </c>
      <c r="J51" s="211">
        <f t="shared" ref="J51:J62" si="20">IFERROR(H51/E51-1,"-")</f>
        <v>0.49363646881869716</v>
      </c>
      <c r="K51" s="191">
        <f t="shared" ref="K51:K61" si="21">H51-G51</f>
        <v>-14416</v>
      </c>
      <c r="L51" s="191">
        <f t="shared" ref="L51:L62" si="22">H51-E51</f>
        <v>8533</v>
      </c>
      <c r="M51" s="192">
        <f>H51/H$8</f>
        <v>7.1566871825586942E-4</v>
      </c>
      <c r="N51" s="103"/>
    </row>
    <row r="52" spans="1:14" x14ac:dyDescent="0.25">
      <c r="A52" s="193" t="s">
        <v>105</v>
      </c>
      <c r="B52" s="194" t="s">
        <v>105</v>
      </c>
      <c r="C52" s="195">
        <v>12961</v>
      </c>
      <c r="D52" s="195">
        <v>5003</v>
      </c>
      <c r="E52" s="195">
        <v>6990</v>
      </c>
      <c r="F52" s="195">
        <v>6990</v>
      </c>
      <c r="G52" s="195">
        <v>25164</v>
      </c>
      <c r="H52" s="195">
        <v>14324</v>
      </c>
      <c r="I52" s="196">
        <f>IFERROR(H52/G52-1,"-")</f>
        <v>-0.43077412176124619</v>
      </c>
      <c r="J52" s="212">
        <f t="shared" si="20"/>
        <v>1.0492131616595137</v>
      </c>
      <c r="K52" s="195">
        <f t="shared" si="21"/>
        <v>-10840</v>
      </c>
      <c r="L52" s="195">
        <f t="shared" si="22"/>
        <v>7334</v>
      </c>
      <c r="M52" s="196">
        <f>H52/H$8</f>
        <v>3.9704243852577842E-4</v>
      </c>
      <c r="N52" s="103"/>
    </row>
    <row r="53" spans="1:14" x14ac:dyDescent="0.25">
      <c r="A53" s="193" t="s">
        <v>102</v>
      </c>
      <c r="B53" s="194" t="s">
        <v>102</v>
      </c>
      <c r="C53" s="195">
        <v>18008</v>
      </c>
      <c r="D53" s="195">
        <v>1947</v>
      </c>
      <c r="E53" s="195">
        <v>10296</v>
      </c>
      <c r="F53" s="195">
        <v>14228</v>
      </c>
      <c r="G53" s="195">
        <v>15071</v>
      </c>
      <c r="H53" s="195">
        <v>11495</v>
      </c>
      <c r="I53" s="196">
        <f>IFERROR(H53/G53-1,"-")</f>
        <v>-0.23727688939021963</v>
      </c>
      <c r="J53" s="212">
        <f t="shared" si="20"/>
        <v>0.11645299145299148</v>
      </c>
      <c r="K53" s="195">
        <f t="shared" si="21"/>
        <v>-3576</v>
      </c>
      <c r="L53" s="195">
        <f t="shared" si="22"/>
        <v>1199</v>
      </c>
      <c r="M53" s="196">
        <f>H53/H$8</f>
        <v>3.1862627973009095E-4</v>
      </c>
      <c r="N53" s="103"/>
    </row>
    <row r="54" spans="1:14" x14ac:dyDescent="0.25">
      <c r="A54" s="1"/>
      <c r="B54" s="190" t="s">
        <v>109</v>
      </c>
      <c r="C54" s="191">
        <v>203818</v>
      </c>
      <c r="D54" s="191">
        <v>58325</v>
      </c>
      <c r="E54" s="191">
        <v>81476</v>
      </c>
      <c r="F54" s="191">
        <v>147121</v>
      </c>
      <c r="G54" s="191">
        <v>141800</v>
      </c>
      <c r="H54" s="191">
        <v>168823</v>
      </c>
      <c r="I54" s="192">
        <f>IFERROR(H54/G54-1,"-")</f>
        <v>0.19057122708039498</v>
      </c>
      <c r="J54" s="211">
        <f t="shared" si="20"/>
        <v>1.0720580293583386</v>
      </c>
      <c r="K54" s="191">
        <f t="shared" si="21"/>
        <v>27023</v>
      </c>
      <c r="L54" s="191">
        <f t="shared" si="22"/>
        <v>87347</v>
      </c>
      <c r="M54" s="192">
        <f>H54/H$8</f>
        <v>4.6795514939428576E-3</v>
      </c>
      <c r="N54" s="103"/>
    </row>
    <row r="55" spans="1:14" s="74" customFormat="1" x14ac:dyDescent="0.25">
      <c r="B55" s="194" t="s">
        <v>112</v>
      </c>
      <c r="C55" s="195">
        <v>67733</v>
      </c>
      <c r="D55" s="195">
        <v>19771</v>
      </c>
      <c r="E55" s="195">
        <v>20693</v>
      </c>
      <c r="F55" s="195">
        <v>65122</v>
      </c>
      <c r="G55" s="195">
        <v>55484</v>
      </c>
      <c r="H55" s="195">
        <v>69733</v>
      </c>
      <c r="I55" s="196">
        <f t="shared" ref="I55:I62" si="23">IFERROR(H55/G55-1,"-")</f>
        <v>0.25681277485401188</v>
      </c>
      <c r="J55" s="212">
        <f t="shared" si="20"/>
        <v>2.3698835354950951</v>
      </c>
      <c r="K55" s="195">
        <f t="shared" si="21"/>
        <v>14249</v>
      </c>
      <c r="L55" s="195">
        <f t="shared" si="22"/>
        <v>49040</v>
      </c>
      <c r="M55" s="196">
        <f t="shared" ref="M55:M62" si="24">H55/H$8</f>
        <v>1.9329070347471452E-3</v>
      </c>
      <c r="N55" s="197"/>
    </row>
    <row r="56" spans="1:14" s="74" customFormat="1" x14ac:dyDescent="0.25">
      <c r="B56" s="194" t="s">
        <v>115</v>
      </c>
      <c r="C56" s="195">
        <v>69940</v>
      </c>
      <c r="D56" s="195">
        <v>18669</v>
      </c>
      <c r="E56" s="195">
        <v>31230</v>
      </c>
      <c r="F56" s="195">
        <v>34084</v>
      </c>
      <c r="G56" s="195">
        <v>34465</v>
      </c>
      <c r="H56" s="195">
        <v>39071</v>
      </c>
      <c r="I56" s="196">
        <f t="shared" si="23"/>
        <v>0.13364282605541855</v>
      </c>
      <c r="J56" s="212">
        <f t="shared" si="20"/>
        <v>0.25107268651937242</v>
      </c>
      <c r="K56" s="195">
        <f t="shared" si="21"/>
        <v>4606</v>
      </c>
      <c r="L56" s="195">
        <f t="shared" si="22"/>
        <v>7841</v>
      </c>
      <c r="M56" s="196">
        <f t="shared" si="24"/>
        <v>1.0829967268668451E-3</v>
      </c>
      <c r="N56" s="197"/>
    </row>
    <row r="57" spans="1:14" x14ac:dyDescent="0.25">
      <c r="A57" s="1"/>
      <c r="B57" s="194" t="s">
        <v>118</v>
      </c>
      <c r="C57" s="195">
        <v>6792</v>
      </c>
      <c r="D57" s="195">
        <v>1519</v>
      </c>
      <c r="E57" s="195">
        <v>3873</v>
      </c>
      <c r="F57" s="195">
        <v>6397</v>
      </c>
      <c r="G57" s="195">
        <v>6784</v>
      </c>
      <c r="H57" s="195">
        <v>6674</v>
      </c>
      <c r="I57" s="196">
        <f t="shared" si="23"/>
        <v>-1.6214622641509413E-2</v>
      </c>
      <c r="J57" s="212">
        <f t="shared" si="20"/>
        <v>0.72321198037696877</v>
      </c>
      <c r="K57" s="195">
        <f t="shared" si="21"/>
        <v>-110</v>
      </c>
      <c r="L57" s="195">
        <f t="shared" si="22"/>
        <v>2801</v>
      </c>
      <c r="M57" s="196">
        <f t="shared" si="24"/>
        <v>1.849945011673447E-4</v>
      </c>
      <c r="N57" s="103"/>
    </row>
    <row r="58" spans="1:14" x14ac:dyDescent="0.25">
      <c r="A58" s="1"/>
      <c r="B58" s="194" t="s">
        <v>125</v>
      </c>
      <c r="C58" s="195">
        <v>3713</v>
      </c>
      <c r="D58" s="195">
        <v>1082</v>
      </c>
      <c r="E58" s="195">
        <v>2191</v>
      </c>
      <c r="F58" s="195">
        <v>3053</v>
      </c>
      <c r="G58" s="195">
        <v>2811</v>
      </c>
      <c r="H58" s="195">
        <v>4837</v>
      </c>
      <c r="I58" s="196">
        <f t="shared" si="23"/>
        <v>0.72073995019565995</v>
      </c>
      <c r="J58" s="212">
        <f t="shared" si="20"/>
        <v>1.2076677316293929</v>
      </c>
      <c r="K58" s="195">
        <f t="shared" si="21"/>
        <v>2026</v>
      </c>
      <c r="L58" s="195">
        <f t="shared" si="22"/>
        <v>2646</v>
      </c>
      <c r="M58" s="196">
        <f t="shared" si="24"/>
        <v>1.3407527751669858E-4</v>
      </c>
      <c r="N58" s="103"/>
    </row>
    <row r="59" spans="1:14" x14ac:dyDescent="0.25">
      <c r="A59" s="1"/>
      <c r="B59" s="194" t="s">
        <v>121</v>
      </c>
      <c r="C59" s="195">
        <v>4285</v>
      </c>
      <c r="D59" s="195">
        <v>1095</v>
      </c>
      <c r="E59" s="195">
        <v>1459</v>
      </c>
      <c r="F59" s="195">
        <v>2254</v>
      </c>
      <c r="G59" s="195">
        <v>2628</v>
      </c>
      <c r="H59" s="195">
        <v>3308</v>
      </c>
      <c r="I59" s="196">
        <f t="shared" si="23"/>
        <v>0.25875190258751912</v>
      </c>
      <c r="J59" s="212">
        <f t="shared" si="20"/>
        <v>1.2673063742289239</v>
      </c>
      <c r="K59" s="195">
        <f t="shared" si="21"/>
        <v>680</v>
      </c>
      <c r="L59" s="195">
        <f t="shared" si="22"/>
        <v>1849</v>
      </c>
      <c r="M59" s="196">
        <f t="shared" si="24"/>
        <v>9.1693408729633829E-5</v>
      </c>
      <c r="N59" s="103"/>
    </row>
    <row r="60" spans="1:14" x14ac:dyDescent="0.25">
      <c r="A60" s="1"/>
      <c r="B60" s="194" t="s">
        <v>130</v>
      </c>
      <c r="C60" s="195">
        <v>1783</v>
      </c>
      <c r="D60" s="195">
        <v>713</v>
      </c>
      <c r="E60" s="195">
        <v>445</v>
      </c>
      <c r="F60" s="195">
        <v>554</v>
      </c>
      <c r="G60" s="195">
        <v>804</v>
      </c>
      <c r="H60" s="195">
        <v>636</v>
      </c>
      <c r="I60" s="196">
        <f t="shared" si="23"/>
        <v>-0.20895522388059706</v>
      </c>
      <c r="J60" s="212">
        <f t="shared" si="20"/>
        <v>0.42921348314606744</v>
      </c>
      <c r="K60" s="195">
        <f t="shared" si="21"/>
        <v>-168</v>
      </c>
      <c r="L60" s="195">
        <f t="shared" si="22"/>
        <v>191</v>
      </c>
      <c r="M60" s="196">
        <f t="shared" si="24"/>
        <v>1.7629083419603121E-5</v>
      </c>
      <c r="N60" s="103"/>
    </row>
    <row r="61" spans="1:14" x14ac:dyDescent="0.25">
      <c r="A61" s="193" t="s">
        <v>146</v>
      </c>
      <c r="B61" s="194" t="s">
        <v>133</v>
      </c>
      <c r="C61" s="195">
        <v>3475</v>
      </c>
      <c r="D61" s="195">
        <v>1531</v>
      </c>
      <c r="E61" s="195">
        <v>432</v>
      </c>
      <c r="F61" s="195">
        <v>418</v>
      </c>
      <c r="G61" s="195">
        <v>635</v>
      </c>
      <c r="H61" s="195">
        <v>633</v>
      </c>
      <c r="I61" s="196">
        <f t="shared" si="23"/>
        <v>-3.1496062992125706E-3</v>
      </c>
      <c r="J61" s="212">
        <f t="shared" si="20"/>
        <v>0.46527777777777768</v>
      </c>
      <c r="K61" s="195">
        <f t="shared" si="21"/>
        <v>-2</v>
      </c>
      <c r="L61" s="195">
        <f t="shared" si="22"/>
        <v>201</v>
      </c>
      <c r="M61" s="196">
        <f t="shared" si="24"/>
        <v>1.7545927365737068E-5</v>
      </c>
      <c r="N61" s="103"/>
    </row>
    <row r="62" spans="1:14" x14ac:dyDescent="0.25">
      <c r="A62" s="198" t="s">
        <v>147</v>
      </c>
      <c r="B62" s="199" t="s">
        <v>147</v>
      </c>
      <c r="C62" s="200">
        <f t="shared" ref="C62:H62" si="25">C54-SUM(C55:C61)</f>
        <v>46097</v>
      </c>
      <c r="D62" s="200">
        <f t="shared" si="25"/>
        <v>13945</v>
      </c>
      <c r="E62" s="200">
        <f t="shared" si="25"/>
        <v>21153</v>
      </c>
      <c r="F62" s="200">
        <f t="shared" si="25"/>
        <v>35239</v>
      </c>
      <c r="G62" s="200">
        <f t="shared" si="25"/>
        <v>38189</v>
      </c>
      <c r="H62" s="200">
        <f t="shared" si="25"/>
        <v>43931</v>
      </c>
      <c r="I62" s="201">
        <f t="shared" si="23"/>
        <v>0.15035743276859836</v>
      </c>
      <c r="J62" s="213">
        <f t="shared" si="20"/>
        <v>1.0768212546683684</v>
      </c>
      <c r="K62" s="200">
        <f>H62-G62</f>
        <v>5742</v>
      </c>
      <c r="L62" s="200">
        <f t="shared" si="22"/>
        <v>22778</v>
      </c>
      <c r="M62" s="201">
        <f t="shared" si="24"/>
        <v>1.2177095341298501E-3</v>
      </c>
      <c r="N62" s="103"/>
    </row>
    <row r="63" spans="1:14" s="177" customFormat="1" x14ac:dyDescent="0.25"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</row>
    <row r="64" spans="1:14" x14ac:dyDescent="0.25">
      <c r="A64" s="1">
        <v>3</v>
      </c>
      <c r="B64" s="187" t="s">
        <v>70</v>
      </c>
      <c r="C64" s="209">
        <v>834528</v>
      </c>
      <c r="D64" s="209">
        <v>295880</v>
      </c>
      <c r="E64" s="209">
        <v>419370</v>
      </c>
      <c r="F64" s="209">
        <v>1014697</v>
      </c>
      <c r="G64" s="209">
        <v>1034949</v>
      </c>
      <c r="H64" s="209">
        <v>1361415</v>
      </c>
      <c r="I64" s="210">
        <f>IFERROR(H64/G64-1,"-")</f>
        <v>0.31544163045715301</v>
      </c>
      <c r="J64" s="210">
        <f>IFERROR(H64/E64-1,"-")</f>
        <v>2.2463337863938766</v>
      </c>
      <c r="K64" s="209">
        <f>H64-G64</f>
        <v>326466</v>
      </c>
      <c r="L64" s="209">
        <f>H64-E64</f>
        <v>942045</v>
      </c>
      <c r="M64" s="210">
        <f>H64/H$8</f>
        <v>3.7736633024683934E-2</v>
      </c>
      <c r="N64" s="103"/>
    </row>
    <row r="65" spans="1:14" x14ac:dyDescent="0.25">
      <c r="A65" s="1" t="s">
        <v>98</v>
      </c>
      <c r="B65" s="190" t="s">
        <v>99</v>
      </c>
      <c r="C65" s="191">
        <v>158439</v>
      </c>
      <c r="D65" s="191">
        <v>84704</v>
      </c>
      <c r="E65" s="191">
        <v>83752</v>
      </c>
      <c r="F65" s="191">
        <v>119256</v>
      </c>
      <c r="G65" s="191">
        <v>173467</v>
      </c>
      <c r="H65" s="191">
        <v>256345</v>
      </c>
      <c r="I65" s="192">
        <f>IFERROR(H65/G65-1,"-")</f>
        <v>0.47777387053445319</v>
      </c>
      <c r="J65" s="211">
        <f t="shared" ref="J65:J76" si="26">IFERROR(H65/E65-1,"-")</f>
        <v>2.0607627280542555</v>
      </c>
      <c r="K65" s="191">
        <f t="shared" ref="K65:K75" si="27">H65-G65</f>
        <v>82878</v>
      </c>
      <c r="L65" s="191">
        <f t="shared" ref="L65:L76" si="28">H65-E65</f>
        <v>172593</v>
      </c>
      <c r="M65" s="192">
        <f>H65/H$8</f>
        <v>7.1055462094310714E-3</v>
      </c>
      <c r="N65" s="103"/>
    </row>
    <row r="66" spans="1:14" x14ac:dyDescent="0.25">
      <c r="A66" s="193" t="s">
        <v>105</v>
      </c>
      <c r="B66" s="194" t="s">
        <v>105</v>
      </c>
      <c r="C66" s="195">
        <v>67992</v>
      </c>
      <c r="D66" s="195">
        <v>23458</v>
      </c>
      <c r="E66" s="195">
        <v>59324</v>
      </c>
      <c r="F66" s="195">
        <v>72718</v>
      </c>
      <c r="G66" s="195">
        <v>91538</v>
      </c>
      <c r="H66" s="195">
        <v>124261</v>
      </c>
      <c r="I66" s="196">
        <f>IFERROR(H66/G66-1,"-")</f>
        <v>0.35747995368043872</v>
      </c>
      <c r="J66" s="212">
        <f t="shared" si="26"/>
        <v>1.094616007012339</v>
      </c>
      <c r="K66" s="195">
        <f t="shared" si="27"/>
        <v>32723</v>
      </c>
      <c r="L66" s="195">
        <f t="shared" si="28"/>
        <v>64937</v>
      </c>
      <c r="M66" s="196">
        <f>H66/H$8</f>
        <v>3.4443514698165147E-3</v>
      </c>
      <c r="N66" s="103"/>
    </row>
    <row r="67" spans="1:14" x14ac:dyDescent="0.25">
      <c r="A67" s="193" t="s">
        <v>102</v>
      </c>
      <c r="B67" s="194" t="s">
        <v>102</v>
      </c>
      <c r="C67" s="195">
        <v>90447</v>
      </c>
      <c r="D67" s="195">
        <v>61246</v>
      </c>
      <c r="E67" s="195">
        <v>24428</v>
      </c>
      <c r="F67" s="195">
        <v>46538</v>
      </c>
      <c r="G67" s="195">
        <v>81929</v>
      </c>
      <c r="H67" s="195">
        <v>132084</v>
      </c>
      <c r="I67" s="196">
        <f>IFERROR(H67/G67-1,"-")</f>
        <v>0.61217639663611179</v>
      </c>
      <c r="J67" s="212">
        <f t="shared" si="26"/>
        <v>4.4070738496806943</v>
      </c>
      <c r="K67" s="195">
        <f t="shared" si="27"/>
        <v>50155</v>
      </c>
      <c r="L67" s="195">
        <f t="shared" si="28"/>
        <v>107656</v>
      </c>
      <c r="M67" s="196">
        <f>H67/H$8</f>
        <v>3.6611947396145571E-3</v>
      </c>
      <c r="N67" s="103"/>
    </row>
    <row r="68" spans="1:14" x14ac:dyDescent="0.25">
      <c r="A68" s="1"/>
      <c r="B68" s="190" t="s">
        <v>109</v>
      </c>
      <c r="C68" s="191">
        <v>676089</v>
      </c>
      <c r="D68" s="191">
        <v>211176</v>
      </c>
      <c r="E68" s="191">
        <v>335618</v>
      </c>
      <c r="F68" s="191">
        <v>895441</v>
      </c>
      <c r="G68" s="191">
        <v>861482</v>
      </c>
      <c r="H68" s="191">
        <v>1105070</v>
      </c>
      <c r="I68" s="192">
        <f>IFERROR(H68/G68-1,"-")</f>
        <v>0.28275460195337798</v>
      </c>
      <c r="J68" s="211">
        <f t="shared" si="26"/>
        <v>2.2926422301545211</v>
      </c>
      <c r="K68" s="191">
        <f t="shared" si="27"/>
        <v>243588</v>
      </c>
      <c r="L68" s="191">
        <f t="shared" si="28"/>
        <v>769452</v>
      </c>
      <c r="M68" s="192">
        <f>H68/H$8</f>
        <v>3.063108681525286E-2</v>
      </c>
      <c r="N68" s="103"/>
    </row>
    <row r="69" spans="1:14" s="74" customFormat="1" x14ac:dyDescent="0.25">
      <c r="B69" s="194" t="s">
        <v>112</v>
      </c>
      <c r="C69" s="195">
        <v>286315</v>
      </c>
      <c r="D69" s="195">
        <v>94120</v>
      </c>
      <c r="E69" s="195">
        <v>85414</v>
      </c>
      <c r="F69" s="195">
        <v>399420</v>
      </c>
      <c r="G69" s="195">
        <v>324780</v>
      </c>
      <c r="H69" s="195">
        <v>454766</v>
      </c>
      <c r="I69" s="196">
        <f t="shared" ref="I69:I76" si="29">IFERROR(H69/G69-1,"-")</f>
        <v>0.40022784654227483</v>
      </c>
      <c r="J69" s="212">
        <f t="shared" si="26"/>
        <v>4.3242559767719575</v>
      </c>
      <c r="K69" s="195">
        <f t="shared" si="27"/>
        <v>129986</v>
      </c>
      <c r="L69" s="195">
        <f t="shared" si="28"/>
        <v>369352</v>
      </c>
      <c r="M69" s="196">
        <f t="shared" ref="M69:M76" si="30">H69/H$8</f>
        <v>1.2605515330816403E-2</v>
      </c>
      <c r="N69" s="197"/>
    </row>
    <row r="70" spans="1:14" s="74" customFormat="1" x14ac:dyDescent="0.25">
      <c r="B70" s="194" t="s">
        <v>115</v>
      </c>
      <c r="C70" s="195">
        <v>94492</v>
      </c>
      <c r="D70" s="195">
        <v>27344</v>
      </c>
      <c r="E70" s="195">
        <v>36140</v>
      </c>
      <c r="F70" s="195">
        <v>56705</v>
      </c>
      <c r="G70" s="195">
        <v>85292</v>
      </c>
      <c r="H70" s="195">
        <v>78559</v>
      </c>
      <c r="I70" s="196">
        <f t="shared" si="29"/>
        <v>-7.8940580593725107E-2</v>
      </c>
      <c r="J70" s="212">
        <f t="shared" si="26"/>
        <v>1.1737410071942445</v>
      </c>
      <c r="K70" s="195">
        <f t="shared" si="27"/>
        <v>-6733</v>
      </c>
      <c r="L70" s="195">
        <f t="shared" si="28"/>
        <v>42419</v>
      </c>
      <c r="M70" s="196">
        <f t="shared" si="30"/>
        <v>2.1775521452210714E-3</v>
      </c>
      <c r="N70" s="197"/>
    </row>
    <row r="71" spans="1:14" x14ac:dyDescent="0.25">
      <c r="A71" s="1"/>
      <c r="B71" s="194" t="s">
        <v>118</v>
      </c>
      <c r="C71" s="195">
        <v>75234</v>
      </c>
      <c r="D71" s="195">
        <v>21566</v>
      </c>
      <c r="E71" s="195">
        <v>44372</v>
      </c>
      <c r="F71" s="195">
        <v>126795</v>
      </c>
      <c r="G71" s="195">
        <v>108706</v>
      </c>
      <c r="H71" s="195">
        <v>131979</v>
      </c>
      <c r="I71" s="196">
        <f t="shared" si="29"/>
        <v>0.21409121851599733</v>
      </c>
      <c r="J71" s="212">
        <f t="shared" si="26"/>
        <v>1.9743757324438835</v>
      </c>
      <c r="K71" s="195">
        <f t="shared" si="27"/>
        <v>23273</v>
      </c>
      <c r="L71" s="195">
        <f t="shared" si="28"/>
        <v>87607</v>
      </c>
      <c r="M71" s="196">
        <f t="shared" si="30"/>
        <v>3.6582842777292453E-3</v>
      </c>
      <c r="N71" s="103"/>
    </row>
    <row r="72" spans="1:14" x14ac:dyDescent="0.25">
      <c r="A72" s="1"/>
      <c r="B72" s="194" t="s">
        <v>125</v>
      </c>
      <c r="C72" s="195">
        <v>11792</v>
      </c>
      <c r="D72" s="195">
        <v>3914</v>
      </c>
      <c r="E72" s="195">
        <v>28426</v>
      </c>
      <c r="F72" s="195">
        <v>25157</v>
      </c>
      <c r="G72" s="195">
        <v>26613</v>
      </c>
      <c r="H72" s="195">
        <v>47499</v>
      </c>
      <c r="I72" s="196">
        <f t="shared" si="29"/>
        <v>0.7848044188930221</v>
      </c>
      <c r="J72" s="212">
        <f t="shared" si="26"/>
        <v>0.67097023851403637</v>
      </c>
      <c r="K72" s="195">
        <f t="shared" si="27"/>
        <v>20886</v>
      </c>
      <c r="L72" s="195">
        <f t="shared" si="28"/>
        <v>19073</v>
      </c>
      <c r="M72" s="196">
        <f t="shared" si="30"/>
        <v>1.3166098008612083E-3</v>
      </c>
      <c r="N72" s="103"/>
    </row>
    <row r="73" spans="1:14" x14ac:dyDescent="0.25">
      <c r="A73" s="1"/>
      <c r="B73" s="194" t="s">
        <v>121</v>
      </c>
      <c r="C73" s="195">
        <v>17507</v>
      </c>
      <c r="D73" s="195">
        <v>8571</v>
      </c>
      <c r="E73" s="195">
        <v>16869</v>
      </c>
      <c r="F73" s="195">
        <v>22926</v>
      </c>
      <c r="G73" s="195">
        <v>17467</v>
      </c>
      <c r="H73" s="195">
        <v>27574</v>
      </c>
      <c r="I73" s="196">
        <f t="shared" si="29"/>
        <v>0.5786339955344364</v>
      </c>
      <c r="J73" s="212">
        <f t="shared" si="26"/>
        <v>0.63459600450530562</v>
      </c>
      <c r="K73" s="195">
        <f t="shared" si="27"/>
        <v>10107</v>
      </c>
      <c r="L73" s="195">
        <f t="shared" si="28"/>
        <v>10705</v>
      </c>
      <c r="M73" s="196">
        <f t="shared" si="30"/>
        <v>7.6431500976751005E-4</v>
      </c>
      <c r="N73" s="103"/>
    </row>
    <row r="74" spans="1:14" x14ac:dyDescent="0.25">
      <c r="A74" s="1"/>
      <c r="B74" s="194" t="s">
        <v>130</v>
      </c>
      <c r="C74" s="195">
        <v>15819</v>
      </c>
      <c r="D74" s="195">
        <v>5541</v>
      </c>
      <c r="E74" s="195">
        <v>14404</v>
      </c>
      <c r="F74" s="195">
        <v>20957</v>
      </c>
      <c r="G74" s="195">
        <v>26801</v>
      </c>
      <c r="H74" s="195">
        <v>24320</v>
      </c>
      <c r="I74" s="196">
        <f t="shared" si="29"/>
        <v>-9.2571172717435868E-2</v>
      </c>
      <c r="J74" s="212">
        <f t="shared" si="26"/>
        <v>0.68841988336573179</v>
      </c>
      <c r="K74" s="195">
        <f t="shared" si="27"/>
        <v>-2481</v>
      </c>
      <c r="L74" s="195">
        <f t="shared" si="28"/>
        <v>9916</v>
      </c>
      <c r="M74" s="196">
        <f t="shared" si="30"/>
        <v>6.7411841000746518E-4</v>
      </c>
      <c r="N74" s="103"/>
    </row>
    <row r="75" spans="1:14" x14ac:dyDescent="0.25">
      <c r="A75" s="193" t="s">
        <v>146</v>
      </c>
      <c r="B75" s="194" t="s">
        <v>133</v>
      </c>
      <c r="C75" s="195">
        <v>12733</v>
      </c>
      <c r="D75" s="195">
        <v>5018</v>
      </c>
      <c r="E75" s="195">
        <v>1659</v>
      </c>
      <c r="F75" s="195">
        <v>6100</v>
      </c>
      <c r="G75" s="195">
        <v>7680</v>
      </c>
      <c r="H75" s="195">
        <v>21506</v>
      </c>
      <c r="I75" s="196">
        <f t="shared" si="29"/>
        <v>1.8002604166666667</v>
      </c>
      <c r="J75" s="212">
        <f t="shared" si="26"/>
        <v>11.963230861965039</v>
      </c>
      <c r="K75" s="195">
        <f t="shared" si="27"/>
        <v>13826</v>
      </c>
      <c r="L75" s="195">
        <f t="shared" si="28"/>
        <v>19847</v>
      </c>
      <c r="M75" s="196">
        <f t="shared" si="30"/>
        <v>5.9611803148110795E-4</v>
      </c>
      <c r="N75" s="103"/>
    </row>
    <row r="76" spans="1:14" x14ac:dyDescent="0.25">
      <c r="A76" s="198" t="s">
        <v>147</v>
      </c>
      <c r="B76" s="199" t="s">
        <v>147</v>
      </c>
      <c r="C76" s="200">
        <f t="shared" ref="C76:H76" si="31">C68-SUM(C69:C75)</f>
        <v>162197</v>
      </c>
      <c r="D76" s="200">
        <f t="shared" si="31"/>
        <v>45102</v>
      </c>
      <c r="E76" s="200">
        <f t="shared" si="31"/>
        <v>108334</v>
      </c>
      <c r="F76" s="200">
        <f t="shared" si="31"/>
        <v>237381</v>
      </c>
      <c r="G76" s="200">
        <f t="shared" si="31"/>
        <v>264143</v>
      </c>
      <c r="H76" s="200">
        <f t="shared" si="31"/>
        <v>318867</v>
      </c>
      <c r="I76" s="201">
        <f t="shared" si="29"/>
        <v>0.20717565863944909</v>
      </c>
      <c r="J76" s="213">
        <f t="shared" si="26"/>
        <v>1.9433695792641275</v>
      </c>
      <c r="K76" s="200">
        <f>H76-G76</f>
        <v>54724</v>
      </c>
      <c r="L76" s="200">
        <f t="shared" si="28"/>
        <v>210533</v>
      </c>
      <c r="M76" s="201">
        <f t="shared" si="30"/>
        <v>8.8385738093688486E-3</v>
      </c>
      <c r="N76" s="103"/>
    </row>
    <row r="77" spans="1:14" s="177" customFormat="1" x14ac:dyDescent="0.25"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</row>
    <row r="78" spans="1:14" x14ac:dyDescent="0.25">
      <c r="A78" s="1">
        <v>3</v>
      </c>
      <c r="B78" s="187" t="s">
        <v>70</v>
      </c>
      <c r="C78" s="209">
        <v>5492551</v>
      </c>
      <c r="D78" s="209">
        <v>1546641</v>
      </c>
      <c r="E78" s="209">
        <v>1967362</v>
      </c>
      <c r="F78" s="209">
        <v>4352393</v>
      </c>
      <c r="G78" s="209">
        <v>5123327</v>
      </c>
      <c r="H78" s="209">
        <v>5751799</v>
      </c>
      <c r="I78" s="210">
        <f>IFERROR(H78/G78-1,"-")</f>
        <v>0.12266872678632468</v>
      </c>
      <c r="J78" s="210">
        <f>IFERROR(H78/E78-1,"-")</f>
        <v>1.9236098897915075</v>
      </c>
      <c r="K78" s="209">
        <f>H78-G78</f>
        <v>628472</v>
      </c>
      <c r="L78" s="209">
        <f>H78-E78</f>
        <v>3784437</v>
      </c>
      <c r="M78" s="210">
        <f>H78/H$8</f>
        <v>0.15943230249023554</v>
      </c>
      <c r="N78" s="103"/>
    </row>
    <row r="79" spans="1:14" x14ac:dyDescent="0.25">
      <c r="A79" s="1" t="s">
        <v>98</v>
      </c>
      <c r="B79" s="190" t="s">
        <v>99</v>
      </c>
      <c r="C79" s="191">
        <v>1871426</v>
      </c>
      <c r="D79" s="191">
        <v>472177</v>
      </c>
      <c r="E79" s="191">
        <v>765462</v>
      </c>
      <c r="F79" s="191">
        <v>1656388</v>
      </c>
      <c r="G79" s="191">
        <v>1641108</v>
      </c>
      <c r="H79" s="191">
        <v>1680399</v>
      </c>
      <c r="I79" s="192">
        <f>IFERROR(H79/G79-1,"-")</f>
        <v>2.3941751548344214E-2</v>
      </c>
      <c r="J79" s="211">
        <f t="shared" ref="J79:J90" si="32">IFERROR(H79/E79-1,"-")</f>
        <v>1.1952742265455374</v>
      </c>
      <c r="K79" s="191">
        <f t="shared" ref="K79:K89" si="33">H79-G79</f>
        <v>39291</v>
      </c>
      <c r="L79" s="191">
        <f t="shared" ref="L79:L90" si="34">H79-E79</f>
        <v>914937</v>
      </c>
      <c r="M79" s="192">
        <f>H79/H$8</f>
        <v>4.6578449920153558E-2</v>
      </c>
      <c r="N79" s="103"/>
    </row>
    <row r="80" spans="1:14" x14ac:dyDescent="0.25">
      <c r="A80" s="193" t="s">
        <v>105</v>
      </c>
      <c r="B80" s="194" t="s">
        <v>105</v>
      </c>
      <c r="C80" s="195">
        <v>208038</v>
      </c>
      <c r="D80" s="195">
        <v>71537</v>
      </c>
      <c r="E80" s="195">
        <v>181910</v>
      </c>
      <c r="F80" s="195">
        <v>247663</v>
      </c>
      <c r="G80" s="195">
        <v>255714</v>
      </c>
      <c r="H80" s="195">
        <v>287334</v>
      </c>
      <c r="I80" s="196">
        <f>IFERROR(H80/G80-1,"-")</f>
        <v>0.1236537694455524</v>
      </c>
      <c r="J80" s="212">
        <f t="shared" si="32"/>
        <v>0.5795393326370184</v>
      </c>
      <c r="K80" s="195">
        <f t="shared" si="33"/>
        <v>31620</v>
      </c>
      <c r="L80" s="195">
        <f t="shared" si="34"/>
        <v>105424</v>
      </c>
      <c r="M80" s="196">
        <f>H80/H$8</f>
        <v>7.9645205271827724E-3</v>
      </c>
      <c r="N80" s="103"/>
    </row>
    <row r="81" spans="1:14" x14ac:dyDescent="0.25">
      <c r="A81" s="193" t="s">
        <v>102</v>
      </c>
      <c r="B81" s="194" t="s">
        <v>102</v>
      </c>
      <c r="C81" s="195">
        <v>1663388</v>
      </c>
      <c r="D81" s="195">
        <v>400640</v>
      </c>
      <c r="E81" s="195">
        <v>583552</v>
      </c>
      <c r="F81" s="195">
        <v>1408725</v>
      </c>
      <c r="G81" s="195">
        <v>1385394</v>
      </c>
      <c r="H81" s="195">
        <v>1393065</v>
      </c>
      <c r="I81" s="196">
        <f>IFERROR(H81/G81-1,"-")</f>
        <v>5.5370529971978666E-3</v>
      </c>
      <c r="J81" s="212">
        <f t="shared" si="32"/>
        <v>1.3872165633910947</v>
      </c>
      <c r="K81" s="195">
        <f t="shared" si="33"/>
        <v>7671</v>
      </c>
      <c r="L81" s="195">
        <f t="shared" si="34"/>
        <v>809513</v>
      </c>
      <c r="M81" s="196">
        <f>H81/H$8</f>
        <v>3.8613929392970786E-2</v>
      </c>
      <c r="N81" s="103"/>
    </row>
    <row r="82" spans="1:14" x14ac:dyDescent="0.25">
      <c r="A82" s="1"/>
      <c r="B82" s="190" t="s">
        <v>109</v>
      </c>
      <c r="C82" s="191">
        <v>3621125</v>
      </c>
      <c r="D82" s="191">
        <v>1074464</v>
      </c>
      <c r="E82" s="191">
        <v>1201900</v>
      </c>
      <c r="F82" s="191">
        <v>2696005</v>
      </c>
      <c r="G82" s="191">
        <v>3482219</v>
      </c>
      <c r="H82" s="191">
        <v>4071400</v>
      </c>
      <c r="I82" s="192">
        <f>IFERROR(H82/G82-1,"-")</f>
        <v>0.16919699766154861</v>
      </c>
      <c r="J82" s="211">
        <f t="shared" si="32"/>
        <v>2.3874698394209171</v>
      </c>
      <c r="K82" s="191">
        <f t="shared" si="33"/>
        <v>589181</v>
      </c>
      <c r="L82" s="191">
        <f t="shared" si="34"/>
        <v>2869500</v>
      </c>
      <c r="M82" s="192">
        <f>H82/H$8</f>
        <v>0.11285385257008199</v>
      </c>
      <c r="N82" s="103"/>
    </row>
    <row r="83" spans="1:14" s="74" customFormat="1" x14ac:dyDescent="0.25">
      <c r="B83" s="194" t="s">
        <v>112</v>
      </c>
      <c r="C83" s="195">
        <v>574884</v>
      </c>
      <c r="D83" s="195">
        <v>163077</v>
      </c>
      <c r="E83" s="195">
        <v>114301</v>
      </c>
      <c r="F83" s="195">
        <v>504044</v>
      </c>
      <c r="G83" s="195">
        <v>666541</v>
      </c>
      <c r="H83" s="195">
        <v>786563</v>
      </c>
      <c r="I83" s="196">
        <f t="shared" ref="I83:I90" si="35">IFERROR(H83/G83-1,"-")</f>
        <v>0.18006694261868361</v>
      </c>
      <c r="J83" s="212">
        <f t="shared" si="32"/>
        <v>5.8815058485927505</v>
      </c>
      <c r="K83" s="195">
        <f t="shared" si="33"/>
        <v>120022</v>
      </c>
      <c r="L83" s="195">
        <f t="shared" si="34"/>
        <v>672262</v>
      </c>
      <c r="M83" s="196">
        <f t="shared" ref="M83:M90" si="36">H83/H$8</f>
        <v>2.1802491732347939E-2</v>
      </c>
      <c r="N83" s="197"/>
    </row>
    <row r="84" spans="1:14" s="74" customFormat="1" x14ac:dyDescent="0.25">
      <c r="B84" s="194" t="s">
        <v>115</v>
      </c>
      <c r="C84" s="195">
        <v>1562789</v>
      </c>
      <c r="D84" s="195">
        <v>445011</v>
      </c>
      <c r="E84" s="195">
        <v>478237</v>
      </c>
      <c r="F84" s="195">
        <v>1014024</v>
      </c>
      <c r="G84" s="195">
        <v>1210830</v>
      </c>
      <c r="H84" s="195">
        <v>1374516</v>
      </c>
      <c r="I84" s="196">
        <f t="shared" si="35"/>
        <v>0.13518495577413847</v>
      </c>
      <c r="J84" s="212">
        <f t="shared" si="32"/>
        <v>1.8741314452875875</v>
      </c>
      <c r="K84" s="195">
        <f t="shared" si="33"/>
        <v>163686</v>
      </c>
      <c r="L84" s="195">
        <f t="shared" si="34"/>
        <v>896279</v>
      </c>
      <c r="M84" s="196">
        <f t="shared" si="36"/>
        <v>3.8099775511916983E-2</v>
      </c>
      <c r="N84" s="197"/>
    </row>
    <row r="85" spans="1:14" x14ac:dyDescent="0.25">
      <c r="A85" s="1"/>
      <c r="B85" s="194" t="s">
        <v>118</v>
      </c>
      <c r="C85" s="195">
        <v>173660</v>
      </c>
      <c r="D85" s="195">
        <v>48969</v>
      </c>
      <c r="E85" s="195">
        <v>105849</v>
      </c>
      <c r="F85" s="195">
        <v>179405</v>
      </c>
      <c r="G85" s="195">
        <v>275311</v>
      </c>
      <c r="H85" s="195">
        <v>384207</v>
      </c>
      <c r="I85" s="196">
        <f t="shared" si="35"/>
        <v>0.3955381368706663</v>
      </c>
      <c r="J85" s="212">
        <f t="shared" si="32"/>
        <v>2.6297650426551029</v>
      </c>
      <c r="K85" s="195">
        <f t="shared" si="33"/>
        <v>108896</v>
      </c>
      <c r="L85" s="195">
        <f t="shared" si="34"/>
        <v>278358</v>
      </c>
      <c r="M85" s="196">
        <f t="shared" si="36"/>
        <v>1.0649712662571472E-2</v>
      </c>
      <c r="N85" s="103"/>
    </row>
    <row r="86" spans="1:14" x14ac:dyDescent="0.25">
      <c r="A86" s="1"/>
      <c r="B86" s="194" t="s">
        <v>125</v>
      </c>
      <c r="C86" s="195">
        <v>75235</v>
      </c>
      <c r="D86" s="195">
        <v>15102</v>
      </c>
      <c r="E86" s="195">
        <v>38224</v>
      </c>
      <c r="F86" s="195">
        <v>75513</v>
      </c>
      <c r="G86" s="195">
        <v>90350</v>
      </c>
      <c r="H86" s="195">
        <v>134266</v>
      </c>
      <c r="I86" s="196">
        <f t="shared" si="35"/>
        <v>0.48606530160486994</v>
      </c>
      <c r="J86" s="212">
        <f t="shared" si="32"/>
        <v>2.5126098786102973</v>
      </c>
      <c r="K86" s="195">
        <f t="shared" si="33"/>
        <v>43916</v>
      </c>
      <c r="L86" s="195">
        <f t="shared" si="34"/>
        <v>96042</v>
      </c>
      <c r="M86" s="196">
        <f t="shared" si="36"/>
        <v>3.7216769094597993E-3</v>
      </c>
      <c r="N86" s="103"/>
    </row>
    <row r="87" spans="1:14" x14ac:dyDescent="0.25">
      <c r="A87" s="1"/>
      <c r="B87" s="194" t="s">
        <v>121</v>
      </c>
      <c r="C87" s="195">
        <v>46816</v>
      </c>
      <c r="D87" s="195">
        <v>14962</v>
      </c>
      <c r="E87" s="195">
        <v>33300</v>
      </c>
      <c r="F87" s="195">
        <v>33738</v>
      </c>
      <c r="G87" s="195">
        <v>45567</v>
      </c>
      <c r="H87" s="195">
        <v>58820</v>
      </c>
      <c r="I87" s="196">
        <f t="shared" si="35"/>
        <v>0.29084644589286102</v>
      </c>
      <c r="J87" s="212">
        <f t="shared" si="32"/>
        <v>0.76636636636636646</v>
      </c>
      <c r="K87" s="195">
        <f t="shared" si="33"/>
        <v>13253</v>
      </c>
      <c r="L87" s="195">
        <f t="shared" si="34"/>
        <v>25520</v>
      </c>
      <c r="M87" s="196">
        <f t="shared" si="36"/>
        <v>1.6304130294670684E-3</v>
      </c>
      <c r="N87" s="103"/>
    </row>
    <row r="88" spans="1:14" x14ac:dyDescent="0.25">
      <c r="A88" s="1"/>
      <c r="B88" s="194" t="s">
        <v>130</v>
      </c>
      <c r="C88" s="195">
        <v>74813</v>
      </c>
      <c r="D88" s="195">
        <v>30460</v>
      </c>
      <c r="E88" s="195">
        <v>20871</v>
      </c>
      <c r="F88" s="195">
        <v>63463</v>
      </c>
      <c r="G88" s="195">
        <v>74935</v>
      </c>
      <c r="H88" s="195">
        <v>68632</v>
      </c>
      <c r="I88" s="196">
        <f t="shared" si="35"/>
        <v>-8.4112897844798806E-2</v>
      </c>
      <c r="J88" s="212">
        <f t="shared" si="32"/>
        <v>2.2883905898136168</v>
      </c>
      <c r="K88" s="195">
        <f t="shared" si="33"/>
        <v>-6303</v>
      </c>
      <c r="L88" s="195">
        <f t="shared" si="34"/>
        <v>47761</v>
      </c>
      <c r="M88" s="196">
        <f t="shared" si="36"/>
        <v>1.9023887629783039E-3</v>
      </c>
      <c r="N88" s="103"/>
    </row>
    <row r="89" spans="1:14" x14ac:dyDescent="0.25">
      <c r="A89" s="193" t="s">
        <v>146</v>
      </c>
      <c r="B89" s="194" t="s">
        <v>133</v>
      </c>
      <c r="C89" s="195">
        <v>112745</v>
      </c>
      <c r="D89" s="195">
        <v>50030</v>
      </c>
      <c r="E89" s="195">
        <v>22441</v>
      </c>
      <c r="F89" s="195">
        <v>59972</v>
      </c>
      <c r="G89" s="195">
        <v>81697</v>
      </c>
      <c r="H89" s="195">
        <v>79675</v>
      </c>
      <c r="I89" s="196">
        <f t="shared" si="35"/>
        <v>-2.4749990819736389E-2</v>
      </c>
      <c r="J89" s="212">
        <f t="shared" si="32"/>
        <v>2.5504211042288669</v>
      </c>
      <c r="K89" s="195">
        <f t="shared" si="33"/>
        <v>-2022</v>
      </c>
      <c r="L89" s="195">
        <f t="shared" si="34"/>
        <v>57234</v>
      </c>
      <c r="M89" s="196">
        <f t="shared" si="36"/>
        <v>2.2084861972592432E-3</v>
      </c>
      <c r="N89" s="103"/>
    </row>
    <row r="90" spans="1:14" x14ac:dyDescent="0.25">
      <c r="A90" s="198" t="s">
        <v>147</v>
      </c>
      <c r="B90" s="199" t="s">
        <v>147</v>
      </c>
      <c r="C90" s="200">
        <f t="shared" ref="C90:H90" si="37">C82-SUM(C83:C89)</f>
        <v>1000183</v>
      </c>
      <c r="D90" s="200">
        <f t="shared" si="37"/>
        <v>306853</v>
      </c>
      <c r="E90" s="200">
        <f t="shared" si="37"/>
        <v>388677</v>
      </c>
      <c r="F90" s="200">
        <f t="shared" si="37"/>
        <v>765846</v>
      </c>
      <c r="G90" s="200">
        <f t="shared" si="37"/>
        <v>1036988</v>
      </c>
      <c r="H90" s="200">
        <f t="shared" si="37"/>
        <v>1184721</v>
      </c>
      <c r="I90" s="201">
        <f t="shared" si="35"/>
        <v>0.14246355791966736</v>
      </c>
      <c r="J90" s="213">
        <f t="shared" si="32"/>
        <v>2.0480862001096027</v>
      </c>
      <c r="K90" s="200">
        <f>H90-G90</f>
        <v>147733</v>
      </c>
      <c r="L90" s="200">
        <f t="shared" si="34"/>
        <v>796044</v>
      </c>
      <c r="M90" s="201">
        <f t="shared" si="36"/>
        <v>3.2838907764081174E-2</v>
      </c>
      <c r="N90" s="103"/>
    </row>
    <row r="91" spans="1:14" s="177" customFormat="1" x14ac:dyDescent="0.25"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</row>
    <row r="92" spans="1:14" x14ac:dyDescent="0.25">
      <c r="A92" s="1">
        <v>3</v>
      </c>
      <c r="B92" s="187" t="s">
        <v>70</v>
      </c>
      <c r="C92" s="209">
        <v>136126</v>
      </c>
      <c r="D92" s="209">
        <v>59047</v>
      </c>
      <c r="E92" s="209">
        <v>83402</v>
      </c>
      <c r="F92" s="209">
        <v>137757</v>
      </c>
      <c r="G92" s="209">
        <v>148334</v>
      </c>
      <c r="H92" s="209">
        <v>152300</v>
      </c>
      <c r="I92" s="210">
        <f>IFERROR(H92/G92-1,"-")</f>
        <v>2.6736958485579887E-2</v>
      </c>
      <c r="J92" s="210">
        <f>IFERROR(H92/E92-1,"-")</f>
        <v>0.82609529747488075</v>
      </c>
      <c r="K92" s="209">
        <f>H92-G92</f>
        <v>3966</v>
      </c>
      <c r="L92" s="209">
        <f>H92-E92</f>
        <v>68898</v>
      </c>
      <c r="M92" s="210">
        <f>H92/H$8</f>
        <v>4.2215556679332626E-3</v>
      </c>
      <c r="N92" s="103"/>
    </row>
    <row r="93" spans="1:14" x14ac:dyDescent="0.25">
      <c r="A93" s="1" t="s">
        <v>98</v>
      </c>
      <c r="B93" s="190" t="s">
        <v>99</v>
      </c>
      <c r="C93" s="191">
        <v>72932</v>
      </c>
      <c r="D93" s="191">
        <v>31800</v>
      </c>
      <c r="E93" s="191">
        <v>42063</v>
      </c>
      <c r="F93" s="191">
        <v>70951</v>
      </c>
      <c r="G93" s="191">
        <v>72432</v>
      </c>
      <c r="H93" s="191">
        <v>71061</v>
      </c>
      <c r="I93" s="192">
        <f>IFERROR(H93/G93-1,"-")</f>
        <v>-1.8928098078197508E-2</v>
      </c>
      <c r="J93" s="211">
        <f t="shared" ref="J93:J104" si="38">IFERROR(H93/E93-1,"-")</f>
        <v>0.68939447970900791</v>
      </c>
      <c r="K93" s="191">
        <f t="shared" ref="K93:K103" si="39">H93-G93</f>
        <v>-1371</v>
      </c>
      <c r="L93" s="191">
        <f t="shared" ref="L93:L104" si="40">H93-E93</f>
        <v>28998</v>
      </c>
      <c r="M93" s="192">
        <f>H93/H$8</f>
        <v>1.9697174479251845E-3</v>
      </c>
      <c r="N93" s="103"/>
    </row>
    <row r="94" spans="1:14" x14ac:dyDescent="0.25">
      <c r="A94" s="193" t="s">
        <v>105</v>
      </c>
      <c r="B94" s="194" t="s">
        <v>105</v>
      </c>
      <c r="C94" s="195">
        <v>33003</v>
      </c>
      <c r="D94" s="195">
        <v>15549</v>
      </c>
      <c r="E94" s="195">
        <v>20037</v>
      </c>
      <c r="F94" s="195">
        <v>30228</v>
      </c>
      <c r="G94" s="195">
        <v>19606</v>
      </c>
      <c r="H94" s="195">
        <v>21646</v>
      </c>
      <c r="I94" s="196">
        <f>IFERROR(H94/G94-1,"-")</f>
        <v>0.10404978067938386</v>
      </c>
      <c r="J94" s="212">
        <f t="shared" si="38"/>
        <v>8.0301442331686346E-2</v>
      </c>
      <c r="K94" s="195">
        <f t="shared" si="39"/>
        <v>2040</v>
      </c>
      <c r="L94" s="195">
        <f t="shared" si="40"/>
        <v>1609</v>
      </c>
      <c r="M94" s="196">
        <f>H94/H$8</f>
        <v>5.9999864732819042E-4</v>
      </c>
      <c r="N94" s="103"/>
    </row>
    <row r="95" spans="1:14" x14ac:dyDescent="0.25">
      <c r="A95" s="193" t="s">
        <v>102</v>
      </c>
      <c r="B95" s="194" t="s">
        <v>102</v>
      </c>
      <c r="C95" s="195">
        <v>39929</v>
      </c>
      <c r="D95" s="195">
        <v>16251</v>
      </c>
      <c r="E95" s="195">
        <v>22026</v>
      </c>
      <c r="F95" s="195">
        <v>40723</v>
      </c>
      <c r="G95" s="195">
        <v>52826</v>
      </c>
      <c r="H95" s="195">
        <v>49415</v>
      </c>
      <c r="I95" s="196">
        <f>IFERROR(H95/G95-1,"-")</f>
        <v>-6.4570476659220888E-2</v>
      </c>
      <c r="J95" s="212">
        <f t="shared" si="38"/>
        <v>1.2434849723054571</v>
      </c>
      <c r="K95" s="195">
        <f t="shared" si="39"/>
        <v>-3411</v>
      </c>
      <c r="L95" s="195">
        <f t="shared" si="40"/>
        <v>27389</v>
      </c>
      <c r="M95" s="196">
        <f>H95/H$8</f>
        <v>1.3697188005969939E-3</v>
      </c>
      <c r="N95" s="103"/>
    </row>
    <row r="96" spans="1:14" x14ac:dyDescent="0.25">
      <c r="A96" s="1"/>
      <c r="B96" s="190" t="s">
        <v>109</v>
      </c>
      <c r="C96" s="191">
        <v>63194</v>
      </c>
      <c r="D96" s="191">
        <v>27247</v>
      </c>
      <c r="E96" s="191">
        <v>41339</v>
      </c>
      <c r="F96" s="191">
        <v>66806</v>
      </c>
      <c r="G96" s="191">
        <v>75902</v>
      </c>
      <c r="H96" s="191">
        <v>81239</v>
      </c>
      <c r="I96" s="192">
        <f>IFERROR(H96/G96-1,"-")</f>
        <v>7.0314352717978368E-2</v>
      </c>
      <c r="J96" s="211">
        <f t="shared" si="38"/>
        <v>0.96519025617455667</v>
      </c>
      <c r="K96" s="191">
        <f t="shared" si="39"/>
        <v>5337</v>
      </c>
      <c r="L96" s="191">
        <f t="shared" si="40"/>
        <v>39900</v>
      </c>
      <c r="M96" s="192">
        <f>H96/H$8</f>
        <v>2.2518382200080785E-3</v>
      </c>
      <c r="N96" s="103"/>
    </row>
    <row r="97" spans="1:14" s="74" customFormat="1" x14ac:dyDescent="0.25">
      <c r="B97" s="194" t="s">
        <v>112</v>
      </c>
      <c r="C97" s="195">
        <v>8082</v>
      </c>
      <c r="D97" s="195">
        <v>5019</v>
      </c>
      <c r="E97" s="195">
        <v>3494</v>
      </c>
      <c r="F97" s="195">
        <v>9249</v>
      </c>
      <c r="G97" s="195">
        <v>11177</v>
      </c>
      <c r="H97" s="195">
        <v>12296</v>
      </c>
      <c r="I97" s="196">
        <f t="shared" ref="I97:I104" si="41">IFERROR(H97/G97-1,"-")</f>
        <v>0.10011631028003931</v>
      </c>
      <c r="J97" s="212">
        <f t="shared" si="38"/>
        <v>2.5191757298225528</v>
      </c>
      <c r="K97" s="195">
        <f t="shared" si="39"/>
        <v>1119</v>
      </c>
      <c r="L97" s="195">
        <f t="shared" si="40"/>
        <v>8802</v>
      </c>
      <c r="M97" s="196">
        <f t="shared" ref="M97:M104" si="42">H97/H$8</f>
        <v>3.4082894611232699E-4</v>
      </c>
      <c r="N97" s="197"/>
    </row>
    <row r="98" spans="1:14" s="74" customFormat="1" x14ac:dyDescent="0.25">
      <c r="B98" s="194" t="s">
        <v>115</v>
      </c>
      <c r="C98" s="195">
        <v>21366</v>
      </c>
      <c r="D98" s="195">
        <v>7473</v>
      </c>
      <c r="E98" s="195">
        <v>15393</v>
      </c>
      <c r="F98" s="195">
        <v>21050</v>
      </c>
      <c r="G98" s="195">
        <v>22639</v>
      </c>
      <c r="H98" s="195">
        <v>25055</v>
      </c>
      <c r="I98" s="196">
        <f t="shared" si="41"/>
        <v>0.10671849463315519</v>
      </c>
      <c r="J98" s="212">
        <f t="shared" si="38"/>
        <v>0.6276879100890016</v>
      </c>
      <c r="K98" s="195">
        <f t="shared" si="39"/>
        <v>2416</v>
      </c>
      <c r="L98" s="195">
        <f t="shared" si="40"/>
        <v>9662</v>
      </c>
      <c r="M98" s="196">
        <f t="shared" si="42"/>
        <v>6.9449164320464806E-4</v>
      </c>
      <c r="N98" s="197"/>
    </row>
    <row r="99" spans="1:14" x14ac:dyDescent="0.25">
      <c r="A99" s="1"/>
      <c r="B99" s="194" t="s">
        <v>118</v>
      </c>
      <c r="C99" s="195">
        <v>8657</v>
      </c>
      <c r="D99" s="195">
        <v>4658</v>
      </c>
      <c r="E99" s="195">
        <v>7148</v>
      </c>
      <c r="F99" s="195">
        <v>7881</v>
      </c>
      <c r="G99" s="195">
        <v>8902</v>
      </c>
      <c r="H99" s="195">
        <v>9750</v>
      </c>
      <c r="I99" s="196">
        <f t="shared" si="41"/>
        <v>9.5259492248932931E-2</v>
      </c>
      <c r="J99" s="212">
        <f t="shared" si="38"/>
        <v>0.36401790710688298</v>
      </c>
      <c r="K99" s="195">
        <f t="shared" si="39"/>
        <v>848</v>
      </c>
      <c r="L99" s="195">
        <f t="shared" si="40"/>
        <v>2602</v>
      </c>
      <c r="M99" s="196">
        <f t="shared" si="42"/>
        <v>2.7025717506467048E-4</v>
      </c>
      <c r="N99" s="103"/>
    </row>
    <row r="100" spans="1:14" x14ac:dyDescent="0.25">
      <c r="A100" s="1"/>
      <c r="B100" s="194" t="s">
        <v>125</v>
      </c>
      <c r="C100" s="195">
        <v>2390</v>
      </c>
      <c r="D100" s="195">
        <v>940</v>
      </c>
      <c r="E100" s="195">
        <v>1385</v>
      </c>
      <c r="F100" s="195">
        <v>4981</v>
      </c>
      <c r="G100" s="195">
        <v>3623</v>
      </c>
      <c r="H100" s="195">
        <v>3800</v>
      </c>
      <c r="I100" s="196">
        <f t="shared" si="41"/>
        <v>4.8854540436102711E-2</v>
      </c>
      <c r="J100" s="212">
        <f t="shared" si="38"/>
        <v>1.743682310469314</v>
      </c>
      <c r="K100" s="195">
        <f t="shared" si="39"/>
        <v>177</v>
      </c>
      <c r="L100" s="195">
        <f t="shared" si="40"/>
        <v>2415</v>
      </c>
      <c r="M100" s="196">
        <f t="shared" si="42"/>
        <v>1.0533100156366643E-4</v>
      </c>
      <c r="N100" s="103"/>
    </row>
    <row r="101" spans="1:14" x14ac:dyDescent="0.25">
      <c r="A101" s="1"/>
      <c r="B101" s="194" t="s">
        <v>121</v>
      </c>
      <c r="C101" s="195">
        <v>1298</v>
      </c>
      <c r="D101" s="195">
        <v>788</v>
      </c>
      <c r="E101" s="195">
        <v>1315</v>
      </c>
      <c r="F101" s="195">
        <v>1892</v>
      </c>
      <c r="G101" s="195">
        <v>1812</v>
      </c>
      <c r="H101" s="195">
        <v>2358</v>
      </c>
      <c r="I101" s="196">
        <f t="shared" si="41"/>
        <v>0.30132450331125837</v>
      </c>
      <c r="J101" s="212">
        <f t="shared" si="38"/>
        <v>0.79315589353612159</v>
      </c>
      <c r="K101" s="195">
        <f t="shared" si="39"/>
        <v>546</v>
      </c>
      <c r="L101" s="195">
        <f t="shared" si="40"/>
        <v>1043</v>
      </c>
      <c r="M101" s="196">
        <f t="shared" si="42"/>
        <v>6.5360658338717225E-5</v>
      </c>
      <c r="N101" s="103"/>
    </row>
    <row r="102" spans="1:14" x14ac:dyDescent="0.25">
      <c r="A102" s="1"/>
      <c r="B102" s="194" t="s">
        <v>130</v>
      </c>
      <c r="C102" s="195">
        <v>444</v>
      </c>
      <c r="D102" s="195">
        <v>599</v>
      </c>
      <c r="E102" s="195">
        <v>275</v>
      </c>
      <c r="F102" s="195">
        <v>817</v>
      </c>
      <c r="G102" s="195">
        <v>420</v>
      </c>
      <c r="H102" s="195">
        <v>782</v>
      </c>
      <c r="I102" s="196">
        <f t="shared" si="41"/>
        <v>0.86190476190476195</v>
      </c>
      <c r="J102" s="212">
        <f t="shared" si="38"/>
        <v>1.8436363636363637</v>
      </c>
      <c r="K102" s="195">
        <f t="shared" si="39"/>
        <v>362</v>
      </c>
      <c r="L102" s="195">
        <f t="shared" si="40"/>
        <v>507</v>
      </c>
      <c r="M102" s="196">
        <f t="shared" si="42"/>
        <v>2.1676011374417671E-5</v>
      </c>
      <c r="N102" s="103"/>
    </row>
    <row r="103" spans="1:14" x14ac:dyDescent="0.25">
      <c r="A103" s="193" t="s">
        <v>146</v>
      </c>
      <c r="B103" s="194" t="s">
        <v>133</v>
      </c>
      <c r="C103" s="195">
        <v>699</v>
      </c>
      <c r="D103" s="195">
        <v>259</v>
      </c>
      <c r="E103" s="195">
        <v>259</v>
      </c>
      <c r="F103" s="195">
        <v>385</v>
      </c>
      <c r="G103" s="195">
        <v>950</v>
      </c>
      <c r="H103" s="195">
        <v>1244</v>
      </c>
      <c r="I103" s="196">
        <f t="shared" si="41"/>
        <v>0.30947368421052635</v>
      </c>
      <c r="J103" s="212">
        <f t="shared" si="38"/>
        <v>3.8030888030888033</v>
      </c>
      <c r="K103" s="195">
        <f t="shared" si="39"/>
        <v>294</v>
      </c>
      <c r="L103" s="195">
        <f t="shared" si="40"/>
        <v>985</v>
      </c>
      <c r="M103" s="196">
        <f t="shared" si="42"/>
        <v>3.4482043669789748E-5</v>
      </c>
      <c r="N103" s="103"/>
    </row>
    <row r="104" spans="1:14" x14ac:dyDescent="0.25">
      <c r="A104" s="198" t="s">
        <v>147</v>
      </c>
      <c r="B104" s="199" t="s">
        <v>147</v>
      </c>
      <c r="C104" s="200">
        <f t="shared" ref="C104:H104" si="43">C96-SUM(C97:C103)</f>
        <v>20258</v>
      </c>
      <c r="D104" s="200">
        <f t="shared" si="43"/>
        <v>7511</v>
      </c>
      <c r="E104" s="200">
        <f t="shared" si="43"/>
        <v>12070</v>
      </c>
      <c r="F104" s="200">
        <f t="shared" si="43"/>
        <v>20551</v>
      </c>
      <c r="G104" s="200">
        <f t="shared" si="43"/>
        <v>26379</v>
      </c>
      <c r="H104" s="200">
        <f t="shared" si="43"/>
        <v>25954</v>
      </c>
      <c r="I104" s="201">
        <f t="shared" si="41"/>
        <v>-1.6111300655824667E-2</v>
      </c>
      <c r="J104" s="213">
        <f t="shared" si="38"/>
        <v>1.1502899751449878</v>
      </c>
      <c r="K104" s="200">
        <f>H104-G104</f>
        <v>-425</v>
      </c>
      <c r="L104" s="200">
        <f t="shared" si="40"/>
        <v>13884</v>
      </c>
      <c r="M104" s="201">
        <f t="shared" si="42"/>
        <v>7.1941074067984176E-4</v>
      </c>
      <c r="N104" s="103"/>
    </row>
    <row r="105" spans="1:14" s="177" customFormat="1" x14ac:dyDescent="0.25"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</row>
    <row r="106" spans="1:14" x14ac:dyDescent="0.25">
      <c r="A106" s="1">
        <v>3</v>
      </c>
      <c r="B106" s="187" t="s">
        <v>70</v>
      </c>
      <c r="C106" s="209">
        <v>1055815</v>
      </c>
      <c r="D106" s="209">
        <v>442013</v>
      </c>
      <c r="E106" s="209">
        <v>749212</v>
      </c>
      <c r="F106" s="209">
        <v>1316064</v>
      </c>
      <c r="G106" s="209">
        <v>1447168</v>
      </c>
      <c r="H106" s="209">
        <v>1453294</v>
      </c>
      <c r="I106" s="210">
        <f>IFERROR(H106/G106-1,"-")</f>
        <v>4.2330952591544957E-3</v>
      </c>
      <c r="J106" s="210">
        <f>IFERROR(H106/E106-1,"-")</f>
        <v>0.9397633780558774</v>
      </c>
      <c r="K106" s="209">
        <f>H106-G106</f>
        <v>6126</v>
      </c>
      <c r="L106" s="209">
        <f>H106-E106</f>
        <v>704082</v>
      </c>
      <c r="M106" s="210">
        <f>H106/H$8</f>
        <v>4.0283398049070274E-2</v>
      </c>
      <c r="N106" s="103"/>
    </row>
    <row r="107" spans="1:14" x14ac:dyDescent="0.25">
      <c r="A107" s="1" t="s">
        <v>98</v>
      </c>
      <c r="B107" s="190" t="s">
        <v>99</v>
      </c>
      <c r="C107" s="191">
        <v>162637</v>
      </c>
      <c r="D107" s="191">
        <v>125264</v>
      </c>
      <c r="E107" s="191">
        <v>199003</v>
      </c>
      <c r="F107" s="191">
        <v>220579</v>
      </c>
      <c r="G107" s="191">
        <v>219096</v>
      </c>
      <c r="H107" s="191">
        <v>207819</v>
      </c>
      <c r="I107" s="192">
        <f>IFERROR(H107/G107-1,"-")</f>
        <v>-5.1470588235294157E-2</v>
      </c>
      <c r="J107" s="211">
        <f t="shared" ref="J107:J118" si="44">IFERROR(H107/E107-1,"-")</f>
        <v>4.4300839685833981E-2</v>
      </c>
      <c r="K107" s="191">
        <f t="shared" ref="K107:K117" si="45">H107-G107</f>
        <v>-11277</v>
      </c>
      <c r="L107" s="191">
        <f t="shared" ref="L107:L118" si="46">H107-E107</f>
        <v>8816</v>
      </c>
      <c r="M107" s="192">
        <f>H107/H$8</f>
        <v>5.7604693194630513E-3</v>
      </c>
      <c r="N107" s="103"/>
    </row>
    <row r="108" spans="1:14" x14ac:dyDescent="0.25">
      <c r="A108" s="193" t="s">
        <v>105</v>
      </c>
      <c r="B108" s="194" t="s">
        <v>105</v>
      </c>
      <c r="C108" s="195">
        <v>42419</v>
      </c>
      <c r="D108" s="195">
        <v>16702</v>
      </c>
      <c r="E108" s="195">
        <v>106031</v>
      </c>
      <c r="F108" s="195">
        <v>75504</v>
      </c>
      <c r="G108" s="195">
        <v>57419</v>
      </c>
      <c r="H108" s="195">
        <v>59079</v>
      </c>
      <c r="I108" s="196">
        <f>IFERROR(H108/G108-1,"-")</f>
        <v>2.8910291018652279E-2</v>
      </c>
      <c r="J108" s="212">
        <f t="shared" si="44"/>
        <v>-0.44281389404985338</v>
      </c>
      <c r="K108" s="195">
        <f t="shared" si="45"/>
        <v>1660</v>
      </c>
      <c r="L108" s="195">
        <f t="shared" si="46"/>
        <v>-46952</v>
      </c>
      <c r="M108" s="196">
        <f>H108/H$8</f>
        <v>1.6375921687841709E-3</v>
      </c>
      <c r="N108" s="103"/>
    </row>
    <row r="109" spans="1:14" x14ac:dyDescent="0.25">
      <c r="A109" s="193" t="s">
        <v>102</v>
      </c>
      <c r="B109" s="194" t="s">
        <v>102</v>
      </c>
      <c r="C109" s="195">
        <v>120218</v>
      </c>
      <c r="D109" s="195">
        <v>108562</v>
      </c>
      <c r="E109" s="195">
        <v>92972</v>
      </c>
      <c r="F109" s="195">
        <v>145075</v>
      </c>
      <c r="G109" s="195">
        <v>161677</v>
      </c>
      <c r="H109" s="195">
        <v>148740</v>
      </c>
      <c r="I109" s="196">
        <f>IFERROR(H109/G109-1,"-")</f>
        <v>-8.0017565887541164E-2</v>
      </c>
      <c r="J109" s="212">
        <f t="shared" si="44"/>
        <v>0.59983650991696424</v>
      </c>
      <c r="K109" s="195">
        <f t="shared" si="45"/>
        <v>-12937</v>
      </c>
      <c r="L109" s="195">
        <f t="shared" si="46"/>
        <v>55768</v>
      </c>
      <c r="M109" s="196">
        <f>H109/H$8</f>
        <v>4.1228771506788804E-3</v>
      </c>
      <c r="N109" s="103"/>
    </row>
    <row r="110" spans="1:14" x14ac:dyDescent="0.25">
      <c r="A110" s="1"/>
      <c r="B110" s="190" t="s">
        <v>109</v>
      </c>
      <c r="C110" s="191">
        <v>893178</v>
      </c>
      <c r="D110" s="191">
        <v>316749</v>
      </c>
      <c r="E110" s="191">
        <v>550209</v>
      </c>
      <c r="F110" s="191">
        <v>1095485</v>
      </c>
      <c r="G110" s="191">
        <v>1228072</v>
      </c>
      <c r="H110" s="191">
        <v>1245475</v>
      </c>
      <c r="I110" s="192">
        <f>IFERROR(H110/G110-1,"-")</f>
        <v>1.4170993231667151E-2</v>
      </c>
      <c r="J110" s="211">
        <f t="shared" si="44"/>
        <v>1.2636398168695897</v>
      </c>
      <c r="K110" s="191">
        <f t="shared" si="45"/>
        <v>17403</v>
      </c>
      <c r="L110" s="191">
        <f t="shared" si="46"/>
        <v>695266</v>
      </c>
      <c r="M110" s="192">
        <f>H110/H$8</f>
        <v>3.4522928729607223E-2</v>
      </c>
      <c r="N110" s="103"/>
    </row>
    <row r="111" spans="1:14" s="74" customFormat="1" x14ac:dyDescent="0.25">
      <c r="B111" s="194" t="s">
        <v>112</v>
      </c>
      <c r="C111" s="195">
        <v>476582</v>
      </c>
      <c r="D111" s="195">
        <v>181253</v>
      </c>
      <c r="E111" s="195">
        <v>251557</v>
      </c>
      <c r="F111" s="195">
        <v>673877</v>
      </c>
      <c r="G111" s="195">
        <v>775590</v>
      </c>
      <c r="H111" s="195">
        <v>761721</v>
      </c>
      <c r="I111" s="196">
        <f t="shared" ref="I111:I118" si="47">IFERROR(H111/G111-1,"-")</f>
        <v>-1.7881870575948589E-2</v>
      </c>
      <c r="J111" s="212">
        <f t="shared" si="44"/>
        <v>2.0280254574509953</v>
      </c>
      <c r="K111" s="195">
        <f t="shared" si="45"/>
        <v>-13869</v>
      </c>
      <c r="L111" s="195">
        <f t="shared" si="46"/>
        <v>510164</v>
      </c>
      <c r="M111" s="196">
        <f t="shared" ref="M111:M118" si="48">H111/H$8</f>
        <v>2.111390416896778E-2</v>
      </c>
      <c r="N111" s="197"/>
    </row>
    <row r="112" spans="1:14" s="74" customFormat="1" x14ac:dyDescent="0.25">
      <c r="B112" s="194" t="s">
        <v>115</v>
      </c>
      <c r="C112" s="195">
        <v>91753</v>
      </c>
      <c r="D112" s="195">
        <v>22554</v>
      </c>
      <c r="E112" s="195">
        <v>57079</v>
      </c>
      <c r="F112" s="195">
        <v>45927</v>
      </c>
      <c r="G112" s="195">
        <v>60304</v>
      </c>
      <c r="H112" s="195">
        <v>60756</v>
      </c>
      <c r="I112" s="196">
        <f t="shared" si="47"/>
        <v>7.4953568585831576E-3</v>
      </c>
      <c r="J112" s="212">
        <f t="shared" si="44"/>
        <v>6.4419488778710177E-2</v>
      </c>
      <c r="K112" s="195">
        <f t="shared" si="45"/>
        <v>452</v>
      </c>
      <c r="L112" s="195">
        <f t="shared" si="46"/>
        <v>3677</v>
      </c>
      <c r="M112" s="196">
        <f t="shared" si="48"/>
        <v>1.6840764028952942E-3</v>
      </c>
      <c r="N112" s="197"/>
    </row>
    <row r="113" spans="1:14" x14ac:dyDescent="0.25">
      <c r="A113" s="1"/>
      <c r="B113" s="194" t="s">
        <v>118</v>
      </c>
      <c r="C113" s="195">
        <v>92528</v>
      </c>
      <c r="D113" s="195">
        <v>13883</v>
      </c>
      <c r="E113" s="195">
        <v>67210</v>
      </c>
      <c r="F113" s="195">
        <v>65652</v>
      </c>
      <c r="G113" s="195">
        <v>76293</v>
      </c>
      <c r="H113" s="195">
        <v>85229</v>
      </c>
      <c r="I113" s="196">
        <f t="shared" si="47"/>
        <v>0.1171273904552188</v>
      </c>
      <c r="J113" s="212">
        <f t="shared" si="44"/>
        <v>0.26809998512126176</v>
      </c>
      <c r="K113" s="195">
        <f t="shared" si="45"/>
        <v>8936</v>
      </c>
      <c r="L113" s="195">
        <f t="shared" si="46"/>
        <v>18019</v>
      </c>
      <c r="M113" s="196">
        <f t="shared" si="48"/>
        <v>2.362435771649928E-3</v>
      </c>
      <c r="N113" s="103"/>
    </row>
    <row r="114" spans="1:14" x14ac:dyDescent="0.25">
      <c r="A114" s="1"/>
      <c r="B114" s="194" t="s">
        <v>125</v>
      </c>
      <c r="C114" s="195">
        <v>18644</v>
      </c>
      <c r="D114" s="195">
        <v>9005</v>
      </c>
      <c r="E114" s="195">
        <v>29461</v>
      </c>
      <c r="F114" s="195">
        <v>41263</v>
      </c>
      <c r="G114" s="195">
        <v>42135</v>
      </c>
      <c r="H114" s="195">
        <v>41377</v>
      </c>
      <c r="I114" s="196">
        <f t="shared" si="47"/>
        <v>-1.7989794707487849E-2</v>
      </c>
      <c r="J114" s="212">
        <f t="shared" si="44"/>
        <v>0.40446692237194926</v>
      </c>
      <c r="K114" s="195">
        <f t="shared" si="45"/>
        <v>-758</v>
      </c>
      <c r="L114" s="195">
        <f t="shared" si="46"/>
        <v>11916</v>
      </c>
      <c r="M114" s="196">
        <f t="shared" si="48"/>
        <v>1.1469160136052174E-3</v>
      </c>
      <c r="N114" s="103"/>
    </row>
    <row r="115" spans="1:14" x14ac:dyDescent="0.25">
      <c r="A115" s="1"/>
      <c r="B115" s="194" t="s">
        <v>121</v>
      </c>
      <c r="C115" s="195">
        <v>29965</v>
      </c>
      <c r="D115" s="195">
        <v>19818</v>
      </c>
      <c r="E115" s="195">
        <v>36897</v>
      </c>
      <c r="F115" s="195">
        <v>41249</v>
      </c>
      <c r="G115" s="195">
        <v>42266</v>
      </c>
      <c r="H115" s="195">
        <v>33197</v>
      </c>
      <c r="I115" s="196">
        <f t="shared" si="47"/>
        <v>-0.21456963043581134</v>
      </c>
      <c r="J115" s="212">
        <f t="shared" si="44"/>
        <v>-0.10027915548689592</v>
      </c>
      <c r="K115" s="195">
        <f t="shared" si="45"/>
        <v>-9069</v>
      </c>
      <c r="L115" s="195">
        <f t="shared" si="46"/>
        <v>-3700</v>
      </c>
      <c r="M115" s="196">
        <f t="shared" si="48"/>
        <v>9.2017717339711437E-4</v>
      </c>
      <c r="N115" s="103"/>
    </row>
    <row r="116" spans="1:14" x14ac:dyDescent="0.25">
      <c r="A116" s="1"/>
      <c r="B116" s="194" t="s">
        <v>130</v>
      </c>
      <c r="C116" s="195">
        <v>5890</v>
      </c>
      <c r="D116" s="195">
        <v>2343</v>
      </c>
      <c r="E116" s="195">
        <v>2314</v>
      </c>
      <c r="F116" s="195">
        <v>11983</v>
      </c>
      <c r="G116" s="195">
        <v>11780</v>
      </c>
      <c r="H116" s="195">
        <v>11633</v>
      </c>
      <c r="I116" s="196">
        <f t="shared" si="47"/>
        <v>-1.2478777589134071E-2</v>
      </c>
      <c r="J116" s="212">
        <f t="shared" si="44"/>
        <v>4.0272255834053583</v>
      </c>
      <c r="K116" s="195">
        <f t="shared" si="45"/>
        <v>-147</v>
      </c>
      <c r="L116" s="195">
        <f t="shared" si="46"/>
        <v>9319</v>
      </c>
      <c r="M116" s="196">
        <f t="shared" si="48"/>
        <v>3.2245145820792941E-4</v>
      </c>
      <c r="N116" s="103"/>
    </row>
    <row r="117" spans="1:14" x14ac:dyDescent="0.25">
      <c r="A117" s="193" t="s">
        <v>146</v>
      </c>
      <c r="B117" s="194" t="s">
        <v>133</v>
      </c>
      <c r="C117" s="195">
        <v>13480</v>
      </c>
      <c r="D117" s="195">
        <v>7286</v>
      </c>
      <c r="E117" s="195">
        <v>3610</v>
      </c>
      <c r="F117" s="195">
        <v>7507</v>
      </c>
      <c r="G117" s="195">
        <v>7656</v>
      </c>
      <c r="H117" s="195">
        <v>10984</v>
      </c>
      <c r="I117" s="196">
        <f t="shared" si="47"/>
        <v>0.4346917450365726</v>
      </c>
      <c r="J117" s="212">
        <f t="shared" si="44"/>
        <v>2.0426592797783933</v>
      </c>
      <c r="K117" s="195">
        <f t="shared" si="45"/>
        <v>3328</v>
      </c>
      <c r="L117" s="195">
        <f t="shared" si="46"/>
        <v>7374</v>
      </c>
      <c r="M117" s="196">
        <f t="shared" si="48"/>
        <v>3.0446203188824001E-4</v>
      </c>
      <c r="N117" s="103"/>
    </row>
    <row r="118" spans="1:14" x14ac:dyDescent="0.25">
      <c r="A118" s="198" t="s">
        <v>147</v>
      </c>
      <c r="B118" s="199" t="s">
        <v>147</v>
      </c>
      <c r="C118" s="200">
        <f t="shared" ref="C118:H118" si="49">C110-SUM(C111:C117)</f>
        <v>164336</v>
      </c>
      <c r="D118" s="200">
        <f t="shared" si="49"/>
        <v>60607</v>
      </c>
      <c r="E118" s="200">
        <f t="shared" si="49"/>
        <v>102081</v>
      </c>
      <c r="F118" s="200">
        <f t="shared" si="49"/>
        <v>208027</v>
      </c>
      <c r="G118" s="200">
        <f t="shared" si="49"/>
        <v>212048</v>
      </c>
      <c r="H118" s="200">
        <f t="shared" si="49"/>
        <v>240578</v>
      </c>
      <c r="I118" s="201">
        <f t="shared" si="47"/>
        <v>0.13454500867728059</v>
      </c>
      <c r="J118" s="213">
        <f t="shared" si="44"/>
        <v>1.3567363172382714</v>
      </c>
      <c r="K118" s="200">
        <f>H118-G118</f>
        <v>28530</v>
      </c>
      <c r="L118" s="200">
        <f t="shared" si="46"/>
        <v>138497</v>
      </c>
      <c r="M118" s="201">
        <f t="shared" si="48"/>
        <v>6.6685057089957223E-3</v>
      </c>
      <c r="N118" s="103"/>
    </row>
    <row r="119" spans="1:14" s="177" customFormat="1" x14ac:dyDescent="0.25"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</row>
    <row r="120" spans="1:14" x14ac:dyDescent="0.25">
      <c r="A120" s="1">
        <v>3</v>
      </c>
      <c r="B120" s="187" t="s">
        <v>70</v>
      </c>
      <c r="C120" s="209">
        <v>503437</v>
      </c>
      <c r="D120" s="209">
        <v>216673</v>
      </c>
      <c r="E120" s="209">
        <v>359169</v>
      </c>
      <c r="F120" s="209">
        <v>543499</v>
      </c>
      <c r="G120" s="209">
        <v>576462</v>
      </c>
      <c r="H120" s="209">
        <v>584273</v>
      </c>
      <c r="I120" s="210">
        <f>IFERROR(H120/G120-1,"-")</f>
        <v>1.3549895743344642E-2</v>
      </c>
      <c r="J120" s="210">
        <f>IFERROR(H120/E120-1,"-")</f>
        <v>0.6267356035738052</v>
      </c>
      <c r="K120" s="209">
        <f>H120-G120</f>
        <v>7811</v>
      </c>
      <c r="L120" s="209">
        <f>H120-E120</f>
        <v>225104</v>
      </c>
      <c r="M120" s="210">
        <f>H120/H$8</f>
        <v>1.6195279020160019E-2</v>
      </c>
      <c r="N120" s="103"/>
    </row>
    <row r="121" spans="1:14" x14ac:dyDescent="0.25">
      <c r="A121" s="1" t="s">
        <v>98</v>
      </c>
      <c r="B121" s="190" t="s">
        <v>99</v>
      </c>
      <c r="C121" s="191">
        <v>235408</v>
      </c>
      <c r="D121" s="191">
        <v>116562</v>
      </c>
      <c r="E121" s="191">
        <v>206631</v>
      </c>
      <c r="F121" s="191">
        <v>271944</v>
      </c>
      <c r="G121" s="191">
        <v>302350</v>
      </c>
      <c r="H121" s="191">
        <v>308399</v>
      </c>
      <c r="I121" s="192">
        <f>IFERROR(H121/G121-1,"-")</f>
        <v>2.0006614850339055E-2</v>
      </c>
      <c r="J121" s="211">
        <f t="shared" ref="J121:J132" si="50">IFERROR(H121/E121-1,"-")</f>
        <v>0.49251080428396521</v>
      </c>
      <c r="K121" s="191">
        <f t="shared" ref="K121:K131" si="51">H121-G121</f>
        <v>6049</v>
      </c>
      <c r="L121" s="191">
        <f t="shared" ref="L121:L132" si="52">H121-E121</f>
        <v>101768</v>
      </c>
      <c r="M121" s="192">
        <f>H121/H$8</f>
        <v>8.5484146187455694E-3</v>
      </c>
      <c r="N121" s="103"/>
    </row>
    <row r="122" spans="1:14" x14ac:dyDescent="0.25">
      <c r="A122" s="193" t="s">
        <v>105</v>
      </c>
      <c r="B122" s="194" t="s">
        <v>105</v>
      </c>
      <c r="C122" s="195">
        <v>110711</v>
      </c>
      <c r="D122" s="195">
        <v>45374</v>
      </c>
      <c r="E122" s="195">
        <v>96469</v>
      </c>
      <c r="F122" s="195">
        <v>128559</v>
      </c>
      <c r="G122" s="195">
        <v>120954</v>
      </c>
      <c r="H122" s="195">
        <v>133909</v>
      </c>
      <c r="I122" s="196">
        <f>IFERROR(H122/G122-1,"-")</f>
        <v>0.10710683400300947</v>
      </c>
      <c r="J122" s="212">
        <f t="shared" si="50"/>
        <v>0.38810395049186774</v>
      </c>
      <c r="K122" s="195">
        <f t="shared" si="51"/>
        <v>12955</v>
      </c>
      <c r="L122" s="195">
        <f t="shared" si="52"/>
        <v>37440</v>
      </c>
      <c r="M122" s="196">
        <f>H122/H$8</f>
        <v>3.7117813390497392E-3</v>
      </c>
      <c r="N122" s="103"/>
    </row>
    <row r="123" spans="1:14" x14ac:dyDescent="0.25">
      <c r="A123" s="193" t="s">
        <v>102</v>
      </c>
      <c r="B123" s="194" t="s">
        <v>102</v>
      </c>
      <c r="C123" s="195">
        <v>124697</v>
      </c>
      <c r="D123" s="195">
        <v>71188</v>
      </c>
      <c r="E123" s="195">
        <v>110162</v>
      </c>
      <c r="F123" s="195">
        <v>143385</v>
      </c>
      <c r="G123" s="195">
        <v>181396</v>
      </c>
      <c r="H123" s="195">
        <v>174490</v>
      </c>
      <c r="I123" s="196">
        <f>IFERROR(H123/G123-1,"-")</f>
        <v>-3.807140179496793E-2</v>
      </c>
      <c r="J123" s="212">
        <f t="shared" si="50"/>
        <v>0.58394001561336939</v>
      </c>
      <c r="K123" s="195">
        <f t="shared" si="51"/>
        <v>-6906</v>
      </c>
      <c r="L123" s="195">
        <f t="shared" si="52"/>
        <v>64328</v>
      </c>
      <c r="M123" s="196">
        <f>H123/H$8</f>
        <v>4.8366332796958306E-3</v>
      </c>
      <c r="N123" s="103"/>
    </row>
    <row r="124" spans="1:14" x14ac:dyDescent="0.25">
      <c r="A124" s="1"/>
      <c r="B124" s="190" t="s">
        <v>109</v>
      </c>
      <c r="C124" s="191">
        <v>268029</v>
      </c>
      <c r="D124" s="191">
        <v>100111</v>
      </c>
      <c r="E124" s="191">
        <v>152538</v>
      </c>
      <c r="F124" s="191">
        <v>271555</v>
      </c>
      <c r="G124" s="191">
        <v>274112</v>
      </c>
      <c r="H124" s="191">
        <v>275874</v>
      </c>
      <c r="I124" s="192">
        <f>IFERROR(H124/G124-1,"-")</f>
        <v>6.4280294186318532E-3</v>
      </c>
      <c r="J124" s="211">
        <f t="shared" si="50"/>
        <v>0.80855917869645588</v>
      </c>
      <c r="K124" s="191">
        <f t="shared" si="51"/>
        <v>1762</v>
      </c>
      <c r="L124" s="191">
        <f t="shared" si="52"/>
        <v>123336</v>
      </c>
      <c r="M124" s="192">
        <f>H124/H$8</f>
        <v>7.6468644014144509E-3</v>
      </c>
      <c r="N124" s="103"/>
    </row>
    <row r="125" spans="1:14" s="74" customFormat="1" x14ac:dyDescent="0.25">
      <c r="B125" s="194" t="s">
        <v>112</v>
      </c>
      <c r="C125" s="195">
        <v>33000</v>
      </c>
      <c r="D125" s="195">
        <v>11431</v>
      </c>
      <c r="E125" s="195">
        <v>11117</v>
      </c>
      <c r="F125" s="195">
        <v>33351</v>
      </c>
      <c r="G125" s="195">
        <v>40267</v>
      </c>
      <c r="H125" s="195">
        <v>36521</v>
      </c>
      <c r="I125" s="196">
        <f t="shared" ref="I125:I132" si="53">IFERROR(H125/G125-1,"-")</f>
        <v>-9.3029031216628977E-2</v>
      </c>
      <c r="J125" s="212">
        <f t="shared" si="50"/>
        <v>2.2851488710983179</v>
      </c>
      <c r="K125" s="195">
        <f t="shared" si="51"/>
        <v>-3746</v>
      </c>
      <c r="L125" s="195">
        <f t="shared" si="52"/>
        <v>25404</v>
      </c>
      <c r="M125" s="196">
        <f t="shared" ref="M125:M132" si="54">H125/H$8</f>
        <v>1.0123140810807006E-3</v>
      </c>
      <c r="N125" s="197"/>
    </row>
    <row r="126" spans="1:14" s="74" customFormat="1" x14ac:dyDescent="0.25">
      <c r="B126" s="194" t="s">
        <v>115</v>
      </c>
      <c r="C126" s="195">
        <v>30865</v>
      </c>
      <c r="D126" s="195">
        <v>11548</v>
      </c>
      <c r="E126" s="195">
        <v>23428</v>
      </c>
      <c r="F126" s="195">
        <v>34791</v>
      </c>
      <c r="G126" s="195">
        <v>43445</v>
      </c>
      <c r="H126" s="195">
        <v>42161</v>
      </c>
      <c r="I126" s="196">
        <f t="shared" si="53"/>
        <v>-2.9554609276096211E-2</v>
      </c>
      <c r="J126" s="212">
        <f t="shared" si="50"/>
        <v>0.79959877070172447</v>
      </c>
      <c r="K126" s="195">
        <f t="shared" si="51"/>
        <v>-1284</v>
      </c>
      <c r="L126" s="195">
        <f t="shared" si="52"/>
        <v>18733</v>
      </c>
      <c r="M126" s="196">
        <f t="shared" si="54"/>
        <v>1.1686474623488791E-3</v>
      </c>
      <c r="N126" s="197"/>
    </row>
    <row r="127" spans="1:14" x14ac:dyDescent="0.25">
      <c r="A127" s="1"/>
      <c r="B127" s="194" t="s">
        <v>118</v>
      </c>
      <c r="C127" s="195">
        <v>20310</v>
      </c>
      <c r="D127" s="195">
        <v>7014</v>
      </c>
      <c r="E127" s="195">
        <v>18250</v>
      </c>
      <c r="F127" s="195">
        <v>23874</v>
      </c>
      <c r="G127" s="195">
        <v>26737</v>
      </c>
      <c r="H127" s="195">
        <v>26375</v>
      </c>
      <c r="I127" s="196">
        <f t="shared" si="53"/>
        <v>-1.3539290122302372E-2</v>
      </c>
      <c r="J127" s="212">
        <f t="shared" si="50"/>
        <v>0.4452054794520548</v>
      </c>
      <c r="K127" s="195">
        <f t="shared" si="51"/>
        <v>-362</v>
      </c>
      <c r="L127" s="195">
        <f t="shared" si="52"/>
        <v>8125</v>
      </c>
      <c r="M127" s="196">
        <f t="shared" si="54"/>
        <v>7.3108030690571108E-4</v>
      </c>
      <c r="N127" s="103"/>
    </row>
    <row r="128" spans="1:14" x14ac:dyDescent="0.25">
      <c r="A128" s="1"/>
      <c r="B128" s="194" t="s">
        <v>125</v>
      </c>
      <c r="C128" s="195">
        <v>4930</v>
      </c>
      <c r="D128" s="195">
        <v>1882</v>
      </c>
      <c r="E128" s="195">
        <v>3678</v>
      </c>
      <c r="F128" s="195">
        <v>6463</v>
      </c>
      <c r="G128" s="195">
        <v>7383</v>
      </c>
      <c r="H128" s="195">
        <v>7428</v>
      </c>
      <c r="I128" s="196">
        <f t="shared" si="53"/>
        <v>6.0950832994717263E-3</v>
      </c>
      <c r="J128" s="212">
        <f t="shared" si="50"/>
        <v>1.0195758564437196</v>
      </c>
      <c r="K128" s="195">
        <f t="shared" si="51"/>
        <v>45</v>
      </c>
      <c r="L128" s="195">
        <f t="shared" si="52"/>
        <v>3750</v>
      </c>
      <c r="M128" s="196">
        <f t="shared" si="54"/>
        <v>2.0589438937234587E-4</v>
      </c>
      <c r="N128" s="103"/>
    </row>
    <row r="129" spans="1:14" x14ac:dyDescent="0.25">
      <c r="A129" s="1"/>
      <c r="B129" s="194" t="s">
        <v>121</v>
      </c>
      <c r="C129" s="195">
        <v>3923</v>
      </c>
      <c r="D129" s="195">
        <v>1919</v>
      </c>
      <c r="E129" s="195">
        <v>3450</v>
      </c>
      <c r="F129" s="195">
        <v>4851</v>
      </c>
      <c r="G129" s="195">
        <v>5958</v>
      </c>
      <c r="H129" s="195">
        <v>5916</v>
      </c>
      <c r="I129" s="196">
        <f t="shared" si="53"/>
        <v>-7.0493454179254567E-3</v>
      </c>
      <c r="J129" s="212">
        <f t="shared" si="50"/>
        <v>0.71478260869565213</v>
      </c>
      <c r="K129" s="195">
        <f t="shared" si="51"/>
        <v>-42</v>
      </c>
      <c r="L129" s="195">
        <f t="shared" si="52"/>
        <v>2466</v>
      </c>
      <c r="M129" s="196">
        <f t="shared" si="54"/>
        <v>1.6398373822385542E-4</v>
      </c>
      <c r="N129" s="103"/>
    </row>
    <row r="130" spans="1:14" x14ac:dyDescent="0.25">
      <c r="A130" s="1"/>
      <c r="B130" s="194" t="s">
        <v>130</v>
      </c>
      <c r="C130" s="195">
        <v>4303</v>
      </c>
      <c r="D130" s="195">
        <v>1701</v>
      </c>
      <c r="E130" s="195">
        <v>1442</v>
      </c>
      <c r="F130" s="195">
        <v>2747</v>
      </c>
      <c r="G130" s="195">
        <v>3505</v>
      </c>
      <c r="H130" s="195">
        <v>3870</v>
      </c>
      <c r="I130" s="196">
        <f t="shared" si="53"/>
        <v>0.10413694721825961</v>
      </c>
      <c r="J130" s="212">
        <f t="shared" si="50"/>
        <v>1.6837725381414703</v>
      </c>
      <c r="K130" s="195">
        <f t="shared" si="51"/>
        <v>365</v>
      </c>
      <c r="L130" s="195">
        <f t="shared" si="52"/>
        <v>2428</v>
      </c>
      <c r="M130" s="196">
        <f t="shared" si="54"/>
        <v>1.0727130948720765E-4</v>
      </c>
      <c r="N130" s="103"/>
    </row>
    <row r="131" spans="1:14" x14ac:dyDescent="0.25">
      <c r="A131" s="193" t="s">
        <v>146</v>
      </c>
      <c r="B131" s="194" t="s">
        <v>133</v>
      </c>
      <c r="C131" s="195">
        <v>5879</v>
      </c>
      <c r="D131" s="195">
        <v>2155</v>
      </c>
      <c r="E131" s="195">
        <v>2010</v>
      </c>
      <c r="F131" s="195">
        <v>4022</v>
      </c>
      <c r="G131" s="195">
        <v>4912</v>
      </c>
      <c r="H131" s="195">
        <v>5417</v>
      </c>
      <c r="I131" s="196">
        <f t="shared" si="53"/>
        <v>0.10280944625407162</v>
      </c>
      <c r="J131" s="212">
        <f t="shared" si="50"/>
        <v>1.6950248756218906</v>
      </c>
      <c r="K131" s="195">
        <f t="shared" si="51"/>
        <v>505</v>
      </c>
      <c r="L131" s="195">
        <f t="shared" si="52"/>
        <v>3407</v>
      </c>
      <c r="M131" s="196">
        <f t="shared" si="54"/>
        <v>1.5015211459746872E-4</v>
      </c>
      <c r="N131" s="103"/>
    </row>
    <row r="132" spans="1:14" x14ac:dyDescent="0.25">
      <c r="A132" s="198" t="s">
        <v>147</v>
      </c>
      <c r="B132" s="199" t="s">
        <v>147</v>
      </c>
      <c r="C132" s="200">
        <f t="shared" ref="C132:H132" si="55">C124-SUM(C125:C131)</f>
        <v>164819</v>
      </c>
      <c r="D132" s="200">
        <f t="shared" si="55"/>
        <v>62461</v>
      </c>
      <c r="E132" s="200">
        <f t="shared" si="55"/>
        <v>89163</v>
      </c>
      <c r="F132" s="200">
        <f t="shared" si="55"/>
        <v>161456</v>
      </c>
      <c r="G132" s="200">
        <f t="shared" si="55"/>
        <v>141905</v>
      </c>
      <c r="H132" s="200">
        <f t="shared" si="55"/>
        <v>148186</v>
      </c>
      <c r="I132" s="201">
        <f t="shared" si="53"/>
        <v>4.4262006271801546E-2</v>
      </c>
      <c r="J132" s="213">
        <f t="shared" si="50"/>
        <v>0.66196740800556286</v>
      </c>
      <c r="K132" s="200">
        <f>H132-G132</f>
        <v>6281</v>
      </c>
      <c r="L132" s="200">
        <f t="shared" si="52"/>
        <v>59023</v>
      </c>
      <c r="M132" s="201">
        <f t="shared" si="54"/>
        <v>4.1075209993982828E-3</v>
      </c>
      <c r="N132" s="103"/>
    </row>
    <row r="133" spans="1:14" s="177" customFormat="1" x14ac:dyDescent="0.25"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</row>
    <row r="134" spans="1:14" x14ac:dyDescent="0.25">
      <c r="A134" s="1">
        <v>3</v>
      </c>
      <c r="B134" s="187" t="s">
        <v>70</v>
      </c>
      <c r="C134" s="209">
        <v>1856756</v>
      </c>
      <c r="D134" s="209">
        <v>610766</v>
      </c>
      <c r="E134" s="209">
        <v>774989</v>
      </c>
      <c r="F134" s="209">
        <v>1753117</v>
      </c>
      <c r="G134" s="209">
        <v>1886738</v>
      </c>
      <c r="H134" s="209">
        <v>1988780</v>
      </c>
      <c r="I134" s="210">
        <f>IFERROR(H134/G134-1,"-")</f>
        <v>5.4083820859069931E-2</v>
      </c>
      <c r="J134" s="210">
        <f>IFERROR(H134/E134-1,"-")</f>
        <v>1.566204165478478</v>
      </c>
      <c r="K134" s="209">
        <f>H134-G134</f>
        <v>102042</v>
      </c>
      <c r="L134" s="209">
        <f>H134-E134</f>
        <v>1213791</v>
      </c>
      <c r="M134" s="210">
        <f>H134/H$8</f>
        <v>5.512636560257593E-2</v>
      </c>
      <c r="N134" s="103"/>
    </row>
    <row r="135" spans="1:14" x14ac:dyDescent="0.25">
      <c r="A135" s="1" t="s">
        <v>98</v>
      </c>
      <c r="B135" s="190" t="s">
        <v>99</v>
      </c>
      <c r="C135" s="191">
        <v>192906</v>
      </c>
      <c r="D135" s="191">
        <v>77176</v>
      </c>
      <c r="E135" s="191">
        <v>141993</v>
      </c>
      <c r="F135" s="191">
        <v>105219</v>
      </c>
      <c r="G135" s="191">
        <v>114083</v>
      </c>
      <c r="H135" s="191">
        <v>103740</v>
      </c>
      <c r="I135" s="192">
        <f>IFERROR(H135/G135-1,"-")</f>
        <v>-9.0662061832174845E-2</v>
      </c>
      <c r="J135" s="211">
        <f t="shared" ref="J135:J146" si="56">IFERROR(H135/E135-1,"-")</f>
        <v>-0.26940060425513934</v>
      </c>
      <c r="K135" s="191">
        <f t="shared" ref="K135:K145" si="57">H135-G135</f>
        <v>-10343</v>
      </c>
      <c r="L135" s="191">
        <f t="shared" ref="L135:L146" si="58">H135-E135</f>
        <v>-38253</v>
      </c>
      <c r="M135" s="192">
        <f>H135/H$8</f>
        <v>2.8755363426880938E-3</v>
      </c>
      <c r="N135" s="103"/>
    </row>
    <row r="136" spans="1:14" x14ac:dyDescent="0.25">
      <c r="A136" s="193" t="s">
        <v>105</v>
      </c>
      <c r="B136" s="194" t="s">
        <v>105</v>
      </c>
      <c r="C136" s="195">
        <v>94828</v>
      </c>
      <c r="D136" s="195">
        <v>51058</v>
      </c>
      <c r="E136" s="195">
        <v>86437</v>
      </c>
      <c r="F136" s="195">
        <v>57546</v>
      </c>
      <c r="G136" s="195">
        <v>60090</v>
      </c>
      <c r="H136" s="195">
        <v>47885</v>
      </c>
      <c r="I136" s="196">
        <f>IFERROR(H136/G136-1,"-")</f>
        <v>-0.2031119986686637</v>
      </c>
      <c r="J136" s="212">
        <f t="shared" si="56"/>
        <v>-0.44601270289343686</v>
      </c>
      <c r="K136" s="195">
        <f t="shared" si="57"/>
        <v>-12205</v>
      </c>
      <c r="L136" s="195">
        <f t="shared" si="58"/>
        <v>-38552</v>
      </c>
      <c r="M136" s="196">
        <f>H136/H$8</f>
        <v>1.3273092131253072E-3</v>
      </c>
      <c r="N136" s="103"/>
    </row>
    <row r="137" spans="1:14" x14ac:dyDescent="0.25">
      <c r="A137" s="193" t="s">
        <v>102</v>
      </c>
      <c r="B137" s="194" t="s">
        <v>102</v>
      </c>
      <c r="C137" s="195">
        <v>98078</v>
      </c>
      <c r="D137" s="195">
        <v>26118</v>
      </c>
      <c r="E137" s="195">
        <v>55556</v>
      </c>
      <c r="F137" s="195">
        <v>47673</v>
      </c>
      <c r="G137" s="195">
        <v>53993</v>
      </c>
      <c r="H137" s="195">
        <v>55855</v>
      </c>
      <c r="I137" s="196">
        <f>IFERROR(H137/G137-1,"-")</f>
        <v>3.4485951882651467E-2</v>
      </c>
      <c r="J137" s="212">
        <f t="shared" si="56"/>
        <v>5.3819569443445126E-3</v>
      </c>
      <c r="K137" s="195">
        <f t="shared" si="57"/>
        <v>1862</v>
      </c>
      <c r="L137" s="195">
        <f t="shared" si="58"/>
        <v>299</v>
      </c>
      <c r="M137" s="196">
        <f>H137/H$8</f>
        <v>1.5482271295627866E-3</v>
      </c>
      <c r="N137" s="103"/>
    </row>
    <row r="138" spans="1:14" x14ac:dyDescent="0.25">
      <c r="A138" s="1"/>
      <c r="B138" s="190" t="s">
        <v>109</v>
      </c>
      <c r="C138" s="191">
        <v>1663850</v>
      </c>
      <c r="D138" s="191">
        <v>533590</v>
      </c>
      <c r="E138" s="191">
        <v>632996</v>
      </c>
      <c r="F138" s="191">
        <v>1647898</v>
      </c>
      <c r="G138" s="191">
        <v>1772655</v>
      </c>
      <c r="H138" s="191">
        <v>1885040</v>
      </c>
      <c r="I138" s="192">
        <f>IFERROR(H138/G138-1,"-")</f>
        <v>6.3399251405377832E-2</v>
      </c>
      <c r="J138" s="211">
        <f t="shared" si="56"/>
        <v>1.9779651056246803</v>
      </c>
      <c r="K138" s="191">
        <f t="shared" si="57"/>
        <v>112385</v>
      </c>
      <c r="L138" s="191">
        <f t="shared" si="58"/>
        <v>1252044</v>
      </c>
      <c r="M138" s="192">
        <f>H138/H$8</f>
        <v>5.2250829259887839E-2</v>
      </c>
      <c r="N138" s="103"/>
    </row>
    <row r="139" spans="1:14" s="74" customFormat="1" x14ac:dyDescent="0.25">
      <c r="B139" s="194" t="s">
        <v>112</v>
      </c>
      <c r="C139" s="195">
        <v>847716</v>
      </c>
      <c r="D139" s="195">
        <v>226701</v>
      </c>
      <c r="E139" s="195">
        <v>182984</v>
      </c>
      <c r="F139" s="195">
        <v>740061</v>
      </c>
      <c r="G139" s="195">
        <v>745732</v>
      </c>
      <c r="H139" s="195">
        <v>857461</v>
      </c>
      <c r="I139" s="196">
        <f t="shared" ref="I139:I146" si="59">IFERROR(H139/G139-1,"-")</f>
        <v>0.1498246018676952</v>
      </c>
      <c r="J139" s="212">
        <f t="shared" si="56"/>
        <v>3.6859889389236216</v>
      </c>
      <c r="K139" s="195">
        <f t="shared" si="57"/>
        <v>111729</v>
      </c>
      <c r="L139" s="195">
        <f t="shared" si="58"/>
        <v>674477</v>
      </c>
      <c r="M139" s="196">
        <f t="shared" ref="M139:M146" si="60">H139/H$8</f>
        <v>2.3767691034679732E-2</v>
      </c>
      <c r="N139" s="197"/>
    </row>
    <row r="140" spans="1:14" s="74" customFormat="1" x14ac:dyDescent="0.25">
      <c r="B140" s="194" t="s">
        <v>115</v>
      </c>
      <c r="C140" s="195">
        <v>113771</v>
      </c>
      <c r="D140" s="195">
        <v>45672</v>
      </c>
      <c r="E140" s="195">
        <v>69325</v>
      </c>
      <c r="F140" s="195">
        <v>132461</v>
      </c>
      <c r="G140" s="195">
        <v>181229</v>
      </c>
      <c r="H140" s="195">
        <v>190327</v>
      </c>
      <c r="I140" s="196">
        <f t="shared" si="59"/>
        <v>5.0201678539306682E-2</v>
      </c>
      <c r="J140" s="212">
        <f t="shared" si="56"/>
        <v>1.7454309412188964</v>
      </c>
      <c r="K140" s="195">
        <f t="shared" si="57"/>
        <v>9098</v>
      </c>
      <c r="L140" s="195">
        <f t="shared" si="58"/>
        <v>121002</v>
      </c>
      <c r="M140" s="196">
        <f t="shared" si="60"/>
        <v>5.2756140880547212E-3</v>
      </c>
      <c r="N140" s="197"/>
    </row>
    <row r="141" spans="1:14" x14ac:dyDescent="0.25">
      <c r="A141" s="1"/>
      <c r="B141" s="194" t="s">
        <v>118</v>
      </c>
      <c r="C141" s="195">
        <v>132722</v>
      </c>
      <c r="D141" s="195">
        <v>42455</v>
      </c>
      <c r="E141" s="195">
        <v>94016</v>
      </c>
      <c r="F141" s="195">
        <v>171222</v>
      </c>
      <c r="G141" s="195">
        <v>162316</v>
      </c>
      <c r="H141" s="195">
        <v>166671</v>
      </c>
      <c r="I141" s="196">
        <f t="shared" si="59"/>
        <v>2.6830380245939978E-2</v>
      </c>
      <c r="J141" s="212">
        <f t="shared" si="56"/>
        <v>0.77279399251191294</v>
      </c>
      <c r="K141" s="195">
        <f t="shared" si="57"/>
        <v>4355</v>
      </c>
      <c r="L141" s="195">
        <f t="shared" si="58"/>
        <v>72655</v>
      </c>
      <c r="M141" s="196">
        <f t="shared" si="60"/>
        <v>4.6199008846362763E-3</v>
      </c>
      <c r="N141" s="103"/>
    </row>
    <row r="142" spans="1:14" x14ac:dyDescent="0.25">
      <c r="A142" s="1"/>
      <c r="B142" s="194" t="s">
        <v>125</v>
      </c>
      <c r="C142" s="195">
        <v>38846</v>
      </c>
      <c r="D142" s="195">
        <v>8958</v>
      </c>
      <c r="E142" s="195">
        <v>22357</v>
      </c>
      <c r="F142" s="195">
        <v>60881</v>
      </c>
      <c r="G142" s="195">
        <v>78552</v>
      </c>
      <c r="H142" s="195">
        <v>58930</v>
      </c>
      <c r="I142" s="196">
        <f t="shared" si="59"/>
        <v>-0.24979631327019047</v>
      </c>
      <c r="J142" s="212">
        <f t="shared" si="56"/>
        <v>1.6358634879456098</v>
      </c>
      <c r="K142" s="195">
        <f t="shared" si="57"/>
        <v>-19622</v>
      </c>
      <c r="L142" s="195">
        <f t="shared" si="58"/>
        <v>36573</v>
      </c>
      <c r="M142" s="196">
        <f t="shared" si="60"/>
        <v>1.6334620847754903E-3</v>
      </c>
      <c r="N142" s="103"/>
    </row>
    <row r="143" spans="1:14" x14ac:dyDescent="0.25">
      <c r="A143" s="1"/>
      <c r="B143" s="194" t="s">
        <v>121</v>
      </c>
      <c r="C143" s="195">
        <v>39195</v>
      </c>
      <c r="D143" s="195">
        <v>12571</v>
      </c>
      <c r="E143" s="195">
        <v>20808</v>
      </c>
      <c r="F143" s="195">
        <v>32138</v>
      </c>
      <c r="G143" s="195">
        <v>40929</v>
      </c>
      <c r="H143" s="195">
        <v>41917</v>
      </c>
      <c r="I143" s="196">
        <f t="shared" si="59"/>
        <v>2.4139363287644544E-2</v>
      </c>
      <c r="J143" s="212">
        <f t="shared" si="56"/>
        <v>1.0144655901576316</v>
      </c>
      <c r="K143" s="195">
        <f t="shared" si="57"/>
        <v>988</v>
      </c>
      <c r="L143" s="195">
        <f t="shared" si="58"/>
        <v>21109</v>
      </c>
      <c r="M143" s="196">
        <f t="shared" si="60"/>
        <v>1.1618841033011068E-3</v>
      </c>
      <c r="N143" s="103"/>
    </row>
    <row r="144" spans="1:14" x14ac:dyDescent="0.25">
      <c r="A144" s="1"/>
      <c r="B144" s="194" t="s">
        <v>130</v>
      </c>
      <c r="C144" s="195">
        <v>18681</v>
      </c>
      <c r="D144" s="195">
        <v>15372</v>
      </c>
      <c r="E144" s="195">
        <v>9958</v>
      </c>
      <c r="F144" s="195">
        <v>24691</v>
      </c>
      <c r="G144" s="195">
        <v>28155</v>
      </c>
      <c r="H144" s="195">
        <v>26591</v>
      </c>
      <c r="I144" s="196">
        <f t="shared" si="59"/>
        <v>-5.554963594388207E-2</v>
      </c>
      <c r="J144" s="212">
        <f t="shared" si="56"/>
        <v>1.6703153243623219</v>
      </c>
      <c r="K144" s="195">
        <f t="shared" si="57"/>
        <v>-1564</v>
      </c>
      <c r="L144" s="195">
        <f t="shared" si="58"/>
        <v>16633</v>
      </c>
      <c r="M144" s="196">
        <f t="shared" si="60"/>
        <v>7.3706754278406693E-4</v>
      </c>
      <c r="N144" s="103"/>
    </row>
    <row r="145" spans="1:14" x14ac:dyDescent="0.25">
      <c r="A145" s="193" t="s">
        <v>146</v>
      </c>
      <c r="B145" s="194" t="s">
        <v>133</v>
      </c>
      <c r="C145" s="195">
        <v>47882</v>
      </c>
      <c r="D145" s="195">
        <v>29519</v>
      </c>
      <c r="E145" s="195">
        <v>6358</v>
      </c>
      <c r="F145" s="195">
        <v>14264</v>
      </c>
      <c r="G145" s="195">
        <v>21375</v>
      </c>
      <c r="H145" s="195">
        <v>19097</v>
      </c>
      <c r="I145" s="196">
        <f t="shared" si="59"/>
        <v>-0.10657309941520465</v>
      </c>
      <c r="J145" s="212">
        <f t="shared" si="56"/>
        <v>2.0036174897766594</v>
      </c>
      <c r="K145" s="195">
        <f t="shared" si="57"/>
        <v>-2278</v>
      </c>
      <c r="L145" s="195">
        <f t="shared" si="58"/>
        <v>12739</v>
      </c>
      <c r="M145" s="196">
        <f t="shared" si="60"/>
        <v>5.2934372022666785E-4</v>
      </c>
      <c r="N145" s="103"/>
    </row>
    <row r="146" spans="1:14" x14ac:dyDescent="0.25">
      <c r="A146" s="198" t="s">
        <v>147</v>
      </c>
      <c r="B146" s="199" t="s">
        <v>147</v>
      </c>
      <c r="C146" s="200">
        <f t="shared" ref="C146:H146" si="61">C138-SUM(C139:C145)</f>
        <v>425037</v>
      </c>
      <c r="D146" s="200">
        <f t="shared" si="61"/>
        <v>152342</v>
      </c>
      <c r="E146" s="200">
        <f t="shared" si="61"/>
        <v>227190</v>
      </c>
      <c r="F146" s="200">
        <f t="shared" si="61"/>
        <v>472180</v>
      </c>
      <c r="G146" s="200">
        <f t="shared" si="61"/>
        <v>514367</v>
      </c>
      <c r="H146" s="200">
        <f t="shared" si="61"/>
        <v>524046</v>
      </c>
      <c r="I146" s="201">
        <f t="shared" si="59"/>
        <v>1.881730359840339E-2</v>
      </c>
      <c r="J146" s="213">
        <f t="shared" si="56"/>
        <v>1.3066420176944407</v>
      </c>
      <c r="K146" s="200">
        <f>H146-G146</f>
        <v>9679</v>
      </c>
      <c r="L146" s="200">
        <f t="shared" si="58"/>
        <v>296856</v>
      </c>
      <c r="M146" s="201">
        <f t="shared" si="60"/>
        <v>1.4525865801429774E-2</v>
      </c>
      <c r="N146" s="103"/>
    </row>
    <row r="147" spans="1:14" s="177" customFormat="1" x14ac:dyDescent="0.25"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</row>
    <row r="148" spans="1:14" x14ac:dyDescent="0.25">
      <c r="A148" s="1">
        <v>3</v>
      </c>
      <c r="B148" s="187" t="s">
        <v>70</v>
      </c>
      <c r="C148" s="209">
        <v>721244</v>
      </c>
      <c r="D148" s="209">
        <v>235241</v>
      </c>
      <c r="E148" s="209">
        <v>320278</v>
      </c>
      <c r="F148" s="209">
        <v>622441</v>
      </c>
      <c r="G148" s="209">
        <v>781085</v>
      </c>
      <c r="H148" s="209">
        <v>735651</v>
      </c>
      <c r="I148" s="210">
        <f>IFERROR(H148/G148-1,"-")</f>
        <v>-5.8167805040424514E-2</v>
      </c>
      <c r="J148" s="210">
        <f>IFERROR(H148/E148-1,"-")</f>
        <v>1.2969139310224245</v>
      </c>
      <c r="K148" s="209">
        <f>H148-G148</f>
        <v>-45434</v>
      </c>
      <c r="L148" s="209">
        <f>H148-E148</f>
        <v>415373</v>
      </c>
      <c r="M148" s="210">
        <f>H148/H$8</f>
        <v>2.0391278060871782E-2</v>
      </c>
      <c r="N148" s="103"/>
    </row>
    <row r="149" spans="1:14" x14ac:dyDescent="0.25">
      <c r="A149" s="1" t="s">
        <v>98</v>
      </c>
      <c r="B149" s="190" t="s">
        <v>99</v>
      </c>
      <c r="C149" s="191">
        <v>261107</v>
      </c>
      <c r="D149" s="191">
        <v>90513</v>
      </c>
      <c r="E149" s="191">
        <v>118326</v>
      </c>
      <c r="F149" s="191">
        <v>251371</v>
      </c>
      <c r="G149" s="191">
        <v>299320</v>
      </c>
      <c r="H149" s="191">
        <v>274535</v>
      </c>
      <c r="I149" s="192">
        <f>IFERROR(H149/G149-1,"-")</f>
        <v>-8.2804356541494095E-2</v>
      </c>
      <c r="J149" s="211">
        <f t="shared" ref="J149:J160" si="62">IFERROR(H149/E149-1,"-")</f>
        <v>1.3201578689383568</v>
      </c>
      <c r="K149" s="191">
        <f t="shared" ref="K149:K159" si="63">H149-G149</f>
        <v>-24785</v>
      </c>
      <c r="L149" s="191">
        <f t="shared" ref="L149:L160" si="64">H149-E149</f>
        <v>156209</v>
      </c>
      <c r="M149" s="192">
        <f>H149/H$8</f>
        <v>7.6097490827055697E-3</v>
      </c>
      <c r="N149" s="103"/>
    </row>
    <row r="150" spans="1:14" x14ac:dyDescent="0.25">
      <c r="A150" s="193" t="s">
        <v>105</v>
      </c>
      <c r="B150" s="194" t="s">
        <v>105</v>
      </c>
      <c r="C150" s="195">
        <v>111386</v>
      </c>
      <c r="D150" s="195">
        <v>46140</v>
      </c>
      <c r="E150" s="195">
        <v>86621</v>
      </c>
      <c r="F150" s="195">
        <v>153781</v>
      </c>
      <c r="G150" s="195">
        <v>212501</v>
      </c>
      <c r="H150" s="195">
        <v>179525</v>
      </c>
      <c r="I150" s="196">
        <f>IFERROR(H150/G150-1,"-")</f>
        <v>-0.15518044620966487</v>
      </c>
      <c r="J150" s="212">
        <f t="shared" si="62"/>
        <v>1.0725343738816222</v>
      </c>
      <c r="K150" s="195">
        <f t="shared" si="63"/>
        <v>-32976</v>
      </c>
      <c r="L150" s="195">
        <f t="shared" si="64"/>
        <v>92904</v>
      </c>
      <c r="M150" s="196">
        <f>H150/H$8</f>
        <v>4.9761968567676885E-3</v>
      </c>
      <c r="N150" s="103"/>
    </row>
    <row r="151" spans="1:14" x14ac:dyDescent="0.25">
      <c r="A151" s="193" t="s">
        <v>102</v>
      </c>
      <c r="B151" s="194" t="s">
        <v>102</v>
      </c>
      <c r="C151" s="195">
        <v>149721</v>
      </c>
      <c r="D151" s="195">
        <v>44373</v>
      </c>
      <c r="E151" s="195">
        <v>31705</v>
      </c>
      <c r="F151" s="195">
        <v>97590</v>
      </c>
      <c r="G151" s="195">
        <v>86819</v>
      </c>
      <c r="H151" s="195">
        <v>95010</v>
      </c>
      <c r="I151" s="196">
        <f>IFERROR(H151/G151-1,"-")</f>
        <v>9.4345707736785744E-2</v>
      </c>
      <c r="J151" s="212">
        <f t="shared" si="62"/>
        <v>1.9966882195237345</v>
      </c>
      <c r="K151" s="195">
        <f t="shared" si="63"/>
        <v>8191</v>
      </c>
      <c r="L151" s="195">
        <f t="shared" si="64"/>
        <v>63305</v>
      </c>
      <c r="M151" s="196">
        <f>H151/H$8</f>
        <v>2.6335522259378812E-3</v>
      </c>
      <c r="N151" s="103"/>
    </row>
    <row r="152" spans="1:14" x14ac:dyDescent="0.25">
      <c r="A152" s="1"/>
      <c r="B152" s="190" t="s">
        <v>109</v>
      </c>
      <c r="C152" s="191">
        <v>460137</v>
      </c>
      <c r="D152" s="191">
        <v>144728</v>
      </c>
      <c r="E152" s="191">
        <v>201952</v>
      </c>
      <c r="F152" s="191">
        <v>371070</v>
      </c>
      <c r="G152" s="191">
        <v>481765</v>
      </c>
      <c r="H152" s="191">
        <v>461116</v>
      </c>
      <c r="I152" s="192">
        <f>IFERROR(H152/G152-1,"-")</f>
        <v>-4.2861145994416372E-2</v>
      </c>
      <c r="J152" s="211">
        <f t="shared" si="62"/>
        <v>1.2832950404056409</v>
      </c>
      <c r="K152" s="191">
        <f t="shared" si="63"/>
        <v>-20649</v>
      </c>
      <c r="L152" s="191">
        <f t="shared" si="64"/>
        <v>259164</v>
      </c>
      <c r="M152" s="192">
        <f>H152/H$8</f>
        <v>1.2781528978166213E-2</v>
      </c>
      <c r="N152" s="103"/>
    </row>
    <row r="153" spans="1:14" s="74" customFormat="1" x14ac:dyDescent="0.25">
      <c r="B153" s="194" t="s">
        <v>112</v>
      </c>
      <c r="C153" s="195">
        <v>120718</v>
      </c>
      <c r="D153" s="195">
        <v>31890</v>
      </c>
      <c r="E153" s="195">
        <v>39412</v>
      </c>
      <c r="F153" s="195">
        <v>136400</v>
      </c>
      <c r="G153" s="195">
        <v>179243</v>
      </c>
      <c r="H153" s="195">
        <v>146131</v>
      </c>
      <c r="I153" s="196">
        <f t="shared" ref="I153:I160" si="65">IFERROR(H153/G153-1,"-")</f>
        <v>-0.18473245817130934</v>
      </c>
      <c r="J153" s="212">
        <f t="shared" si="62"/>
        <v>2.7077793565411548</v>
      </c>
      <c r="K153" s="195">
        <f t="shared" si="63"/>
        <v>-33112</v>
      </c>
      <c r="L153" s="195">
        <f t="shared" si="64"/>
        <v>106719</v>
      </c>
      <c r="M153" s="196">
        <f t="shared" ref="M153:M160" si="66">H153/H$8</f>
        <v>4.0505591025000367E-3</v>
      </c>
      <c r="N153" s="197"/>
    </row>
    <row r="154" spans="1:14" s="74" customFormat="1" x14ac:dyDescent="0.25">
      <c r="B154" s="194" t="s">
        <v>115</v>
      </c>
      <c r="C154" s="195">
        <v>154372</v>
      </c>
      <c r="D154" s="195">
        <v>49978</v>
      </c>
      <c r="E154" s="195">
        <v>69931</v>
      </c>
      <c r="F154" s="195">
        <v>98479</v>
      </c>
      <c r="G154" s="195">
        <v>105256</v>
      </c>
      <c r="H154" s="195">
        <v>104855</v>
      </c>
      <c r="I154" s="196">
        <f t="shared" si="65"/>
        <v>-3.8097590636163581E-3</v>
      </c>
      <c r="J154" s="212">
        <f t="shared" si="62"/>
        <v>0.49940655789277999</v>
      </c>
      <c r="K154" s="195">
        <f t="shared" si="63"/>
        <v>-401</v>
      </c>
      <c r="L154" s="195">
        <f t="shared" si="64"/>
        <v>34924</v>
      </c>
      <c r="M154" s="196">
        <f t="shared" si="66"/>
        <v>2.9064426760416432E-3</v>
      </c>
      <c r="N154" s="197"/>
    </row>
    <row r="155" spans="1:14" x14ac:dyDescent="0.25">
      <c r="A155" s="1"/>
      <c r="B155" s="194" t="s">
        <v>118</v>
      </c>
      <c r="C155" s="195">
        <v>63972</v>
      </c>
      <c r="D155" s="195">
        <v>14033</v>
      </c>
      <c r="E155" s="195">
        <v>26362</v>
      </c>
      <c r="F155" s="195">
        <v>41410</v>
      </c>
      <c r="G155" s="195">
        <v>72199</v>
      </c>
      <c r="H155" s="195">
        <v>71765</v>
      </c>
      <c r="I155" s="196">
        <f t="shared" si="65"/>
        <v>-6.0111635895233606E-3</v>
      </c>
      <c r="J155" s="212">
        <f t="shared" si="62"/>
        <v>1.7222896593581671</v>
      </c>
      <c r="K155" s="195">
        <f t="shared" si="63"/>
        <v>-434</v>
      </c>
      <c r="L155" s="195">
        <f t="shared" si="64"/>
        <v>45403</v>
      </c>
      <c r="M155" s="196">
        <f t="shared" si="66"/>
        <v>1.9892314018990845E-3</v>
      </c>
      <c r="N155" s="103"/>
    </row>
    <row r="156" spans="1:14" x14ac:dyDescent="0.25">
      <c r="A156" s="1"/>
      <c r="B156" s="194" t="s">
        <v>125</v>
      </c>
      <c r="C156" s="195">
        <v>7808</v>
      </c>
      <c r="D156" s="195">
        <v>2588</v>
      </c>
      <c r="E156" s="195">
        <v>4562</v>
      </c>
      <c r="F156" s="195">
        <v>9484</v>
      </c>
      <c r="G156" s="195">
        <v>12559</v>
      </c>
      <c r="H156" s="195">
        <v>15268</v>
      </c>
      <c r="I156" s="196">
        <f t="shared" si="65"/>
        <v>0.21570188709292148</v>
      </c>
      <c r="J156" s="212">
        <f t="shared" si="62"/>
        <v>2.3467777290661989</v>
      </c>
      <c r="K156" s="195">
        <f t="shared" si="63"/>
        <v>2709</v>
      </c>
      <c r="L156" s="195">
        <f t="shared" si="64"/>
        <v>10706</v>
      </c>
      <c r="M156" s="196">
        <f t="shared" si="66"/>
        <v>4.2320887680896295E-4</v>
      </c>
      <c r="N156" s="103"/>
    </row>
    <row r="157" spans="1:14" x14ac:dyDescent="0.25">
      <c r="A157" s="1"/>
      <c r="B157" s="194" t="s">
        <v>121</v>
      </c>
      <c r="C157" s="195">
        <v>21924</v>
      </c>
      <c r="D157" s="195">
        <v>10906</v>
      </c>
      <c r="E157" s="195">
        <v>13772</v>
      </c>
      <c r="F157" s="195">
        <v>27289</v>
      </c>
      <c r="G157" s="195">
        <v>21390</v>
      </c>
      <c r="H157" s="195">
        <v>24668</v>
      </c>
      <c r="I157" s="196">
        <f t="shared" si="65"/>
        <v>0.15324918186068248</v>
      </c>
      <c r="J157" s="212">
        <f t="shared" si="62"/>
        <v>0.791170490851002</v>
      </c>
      <c r="K157" s="195">
        <f t="shared" si="63"/>
        <v>3278</v>
      </c>
      <c r="L157" s="195">
        <f t="shared" si="64"/>
        <v>10896</v>
      </c>
      <c r="M157" s="196">
        <f t="shared" si="66"/>
        <v>6.8376451225592725E-4</v>
      </c>
      <c r="N157" s="103"/>
    </row>
    <row r="158" spans="1:14" x14ac:dyDescent="0.25">
      <c r="A158" s="1"/>
      <c r="B158" s="194" t="s">
        <v>130</v>
      </c>
      <c r="C158" s="195">
        <v>2951</v>
      </c>
      <c r="D158" s="195">
        <v>2836</v>
      </c>
      <c r="E158" s="195">
        <v>1823</v>
      </c>
      <c r="F158" s="195">
        <v>2563</v>
      </c>
      <c r="G158" s="195">
        <v>4469</v>
      </c>
      <c r="H158" s="195">
        <v>3399</v>
      </c>
      <c r="I158" s="196">
        <f t="shared" si="65"/>
        <v>-0.23942716491385097</v>
      </c>
      <c r="J158" s="212">
        <f t="shared" si="62"/>
        <v>0.86450905101481079</v>
      </c>
      <c r="K158" s="195">
        <f t="shared" si="63"/>
        <v>-1070</v>
      </c>
      <c r="L158" s="195">
        <f t="shared" si="64"/>
        <v>1576</v>
      </c>
      <c r="M158" s="196">
        <f t="shared" si="66"/>
        <v>9.4215809030237421E-5</v>
      </c>
      <c r="N158" s="103"/>
    </row>
    <row r="159" spans="1:14" x14ac:dyDescent="0.25">
      <c r="A159" s="193" t="s">
        <v>146</v>
      </c>
      <c r="B159" s="194" t="s">
        <v>133</v>
      </c>
      <c r="C159" s="195">
        <v>7381</v>
      </c>
      <c r="D159" s="195">
        <v>3788</v>
      </c>
      <c r="E159" s="195">
        <v>2712</v>
      </c>
      <c r="F159" s="195">
        <v>4129</v>
      </c>
      <c r="G159" s="195">
        <v>6277</v>
      </c>
      <c r="H159" s="195">
        <v>5327</v>
      </c>
      <c r="I159" s="196">
        <f t="shared" si="65"/>
        <v>-0.15134618448303327</v>
      </c>
      <c r="J159" s="212">
        <f t="shared" si="62"/>
        <v>0.96423303834808261</v>
      </c>
      <c r="K159" s="195">
        <f t="shared" si="63"/>
        <v>-950</v>
      </c>
      <c r="L159" s="195">
        <f t="shared" si="64"/>
        <v>2615</v>
      </c>
      <c r="M159" s="196">
        <f t="shared" si="66"/>
        <v>1.4765743298148713E-4</v>
      </c>
      <c r="N159" s="103"/>
    </row>
    <row r="160" spans="1:14" x14ac:dyDescent="0.25">
      <c r="A160" s="198" t="s">
        <v>147</v>
      </c>
      <c r="B160" s="199" t="s">
        <v>147</v>
      </c>
      <c r="C160" s="200">
        <f t="shared" ref="C160:H160" si="67">C152-SUM(C153:C159)</f>
        <v>81011</v>
      </c>
      <c r="D160" s="200">
        <f t="shared" si="67"/>
        <v>28709</v>
      </c>
      <c r="E160" s="200">
        <f t="shared" si="67"/>
        <v>43378</v>
      </c>
      <c r="F160" s="200">
        <f t="shared" si="67"/>
        <v>51316</v>
      </c>
      <c r="G160" s="200">
        <f t="shared" si="67"/>
        <v>80372</v>
      </c>
      <c r="H160" s="200">
        <f t="shared" si="67"/>
        <v>89703</v>
      </c>
      <c r="I160" s="201">
        <f t="shared" si="65"/>
        <v>0.11609764594634941</v>
      </c>
      <c r="J160" s="213">
        <f t="shared" si="62"/>
        <v>1.067937664253769</v>
      </c>
      <c r="K160" s="200">
        <f>H160-G160</f>
        <v>9331</v>
      </c>
      <c r="L160" s="200">
        <f t="shared" si="64"/>
        <v>46325</v>
      </c>
      <c r="M160" s="201">
        <f t="shared" si="66"/>
        <v>2.4864491666488344E-3</v>
      </c>
      <c r="N160" s="103"/>
    </row>
    <row r="161" spans="2:16" ht="6" customHeight="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</row>
    <row r="162" spans="2:16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</row>
  </sheetData>
  <mergeCells count="1">
    <mergeCell ref="B4:M4"/>
  </mergeCells>
  <pageMargins left="0.25" right="0.25" top="0.75" bottom="0.75" header="0.3" footer="0.3"/>
  <pageSetup paperSize="9" scale="2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60D45-2450-467C-B0DC-5491BB3F42C2}">
  <sheetPr>
    <tabColor theme="3" tint="0.39997558519241921"/>
  </sheetPr>
  <dimension ref="A4:A24"/>
  <sheetViews>
    <sheetView showGridLines="0" workbookViewId="0">
      <selection activeCell="D5" sqref="D5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1B8C3-EC44-4286-A048-D5613935D44C}">
  <sheetPr>
    <tabColor theme="8" tint="0.59999389629810485"/>
  </sheetPr>
  <dimension ref="B1:P220"/>
  <sheetViews>
    <sheetView showGridLines="0" zoomScaleNormal="100" workbookViewId="0">
      <selection activeCell="D5" sqref="D5"/>
    </sheetView>
  </sheetViews>
  <sheetFormatPr baseColWidth="10" defaultColWidth="11.42578125" defaultRowHeight="15" x14ac:dyDescent="0.25"/>
  <cols>
    <col min="2" max="2" width="11.42578125" customWidth="1"/>
    <col min="3" max="3" width="16.85546875" customWidth="1"/>
    <col min="4" max="4" width="26.85546875" customWidth="1"/>
    <col min="5" max="5" width="11.5703125" customWidth="1"/>
  </cols>
  <sheetData>
    <row r="1" spans="2:16" x14ac:dyDescent="0.25">
      <c r="D1" s="84" t="s">
        <v>42</v>
      </c>
      <c r="E1" s="84"/>
      <c r="F1" s="84"/>
      <c r="G1" s="84"/>
      <c r="H1" s="84"/>
      <c r="I1" s="84"/>
      <c r="J1" s="84"/>
      <c r="K1" s="84"/>
      <c r="L1" s="84"/>
    </row>
    <row r="2" spans="2:16" x14ac:dyDescent="0.25">
      <c r="D2" s="84"/>
      <c r="E2" s="84"/>
      <c r="F2" s="84"/>
      <c r="G2" s="84"/>
      <c r="H2" s="84"/>
      <c r="I2" s="84"/>
      <c r="J2" s="84"/>
      <c r="K2" s="84"/>
      <c r="L2" s="84"/>
    </row>
    <row r="4" spans="2:16" ht="21.75" customHeight="1" thickBot="1" x14ac:dyDescent="0.3">
      <c r="C4" s="85" t="s">
        <v>43</v>
      </c>
      <c r="D4" s="85"/>
      <c r="E4" s="85"/>
      <c r="F4" s="85"/>
      <c r="G4" s="85"/>
      <c r="H4" s="85"/>
      <c r="I4" s="85"/>
      <c r="J4" s="85"/>
      <c r="K4" s="85"/>
      <c r="L4" s="85"/>
    </row>
    <row r="5" spans="2:16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45" x14ac:dyDescent="0.25">
      <c r="B6" s="4"/>
      <c r="C6" s="4"/>
      <c r="D6" s="4"/>
      <c r="E6" s="14" t="s">
        <v>228</v>
      </c>
      <c r="F6" s="14" t="s">
        <v>229</v>
      </c>
      <c r="G6" s="14" t="s">
        <v>230</v>
      </c>
      <c r="H6" s="14" t="s">
        <v>231</v>
      </c>
      <c r="I6" s="14" t="s">
        <v>232</v>
      </c>
      <c r="J6" s="15" t="str">
        <f>CONCATENATE("var. ",RIGHT(I6,2),"/",RIGHT(H6,2))</f>
        <v>var. 25/24</v>
      </c>
      <c r="K6" s="15" t="str">
        <f>CONCATENATE("dif. ",RIGHT(I6,2),"/",RIGHT(H6,2))</f>
        <v>dif. 25/24</v>
      </c>
      <c r="L6" s="15" t="str">
        <f>CONCATENATE("cuota ",I6)</f>
        <v>cuota octubre 2025</v>
      </c>
    </row>
    <row r="7" spans="2:16" ht="15" customHeight="1" x14ac:dyDescent="0.25">
      <c r="B7" s="16" t="s">
        <v>44</v>
      </c>
      <c r="C7" s="17" t="s">
        <v>8</v>
      </c>
      <c r="D7" s="86" t="s">
        <v>45</v>
      </c>
      <c r="E7" s="87">
        <v>366988</v>
      </c>
      <c r="F7" s="87">
        <v>432738</v>
      </c>
      <c r="G7" s="87">
        <v>471699</v>
      </c>
      <c r="H7" s="87">
        <v>492579</v>
      </c>
      <c r="I7" s="87">
        <v>493344</v>
      </c>
      <c r="J7" s="88">
        <f>I7/H7-1</f>
        <v>1.5530503736456147E-3</v>
      </c>
      <c r="K7" s="87">
        <f>I7-H7</f>
        <v>765</v>
      </c>
      <c r="L7" s="88">
        <f>I7/$I$7</f>
        <v>1</v>
      </c>
      <c r="P7" s="89"/>
    </row>
    <row r="8" spans="2:16" ht="15" customHeight="1" x14ac:dyDescent="0.25">
      <c r="B8" s="22"/>
      <c r="C8" s="23"/>
      <c r="D8" s="18" t="s">
        <v>46</v>
      </c>
      <c r="E8" s="19">
        <v>139108</v>
      </c>
      <c r="F8" s="19">
        <v>159273</v>
      </c>
      <c r="G8" s="19">
        <v>172251</v>
      </c>
      <c r="H8" s="19">
        <v>172855</v>
      </c>
      <c r="I8" s="19">
        <v>169755</v>
      </c>
      <c r="J8" s="20">
        <f t="shared" ref="J8:J63" si="0">I8/H8-1</f>
        <v>-1.7934106621156465E-2</v>
      </c>
      <c r="K8" s="19">
        <f t="shared" ref="K8:K50" si="1">I8-H8</f>
        <v>-3100</v>
      </c>
      <c r="L8" s="21">
        <f t="shared" ref="L8:L17" si="2">I8/$I$7</f>
        <v>0.34409053317766103</v>
      </c>
      <c r="P8" s="89"/>
    </row>
    <row r="9" spans="2:16" x14ac:dyDescent="0.25">
      <c r="B9" s="22"/>
      <c r="C9" s="23"/>
      <c r="D9" s="24" t="s">
        <v>47</v>
      </c>
      <c r="E9" s="25">
        <v>89457</v>
      </c>
      <c r="F9" s="25">
        <v>113209</v>
      </c>
      <c r="G9" s="25">
        <v>119521</v>
      </c>
      <c r="H9" s="25">
        <v>125080</v>
      </c>
      <c r="I9" s="25">
        <v>130415</v>
      </c>
      <c r="J9" s="80">
        <f t="shared" si="0"/>
        <v>4.2652702270546961E-2</v>
      </c>
      <c r="K9" s="25">
        <f t="shared" si="1"/>
        <v>5335</v>
      </c>
      <c r="L9" s="81">
        <f t="shared" si="2"/>
        <v>0.26434901407537137</v>
      </c>
      <c r="P9" s="89"/>
    </row>
    <row r="10" spans="2:16" x14ac:dyDescent="0.25">
      <c r="B10" s="22"/>
      <c r="C10" s="23"/>
      <c r="D10" s="24" t="s">
        <v>48</v>
      </c>
      <c r="E10" s="25">
        <v>3184</v>
      </c>
      <c r="F10" s="25">
        <v>3407</v>
      </c>
      <c r="G10" s="25">
        <v>4248</v>
      </c>
      <c r="H10" s="25">
        <v>3960</v>
      </c>
      <c r="I10" s="25">
        <v>4094</v>
      </c>
      <c r="J10" s="80">
        <f t="shared" si="0"/>
        <v>3.3838383838383779E-2</v>
      </c>
      <c r="K10" s="25">
        <f t="shared" si="1"/>
        <v>134</v>
      </c>
      <c r="L10" s="81">
        <f t="shared" si="2"/>
        <v>8.2984692222870856E-3</v>
      </c>
      <c r="P10" s="89"/>
    </row>
    <row r="11" spans="2:16" x14ac:dyDescent="0.25">
      <c r="B11" s="22"/>
      <c r="C11" s="23"/>
      <c r="D11" s="24" t="s">
        <v>49</v>
      </c>
      <c r="E11" s="25">
        <v>13659</v>
      </c>
      <c r="F11" s="25">
        <v>14777</v>
      </c>
      <c r="G11" s="25">
        <v>17351</v>
      </c>
      <c r="H11" s="25">
        <v>24595</v>
      </c>
      <c r="I11" s="25">
        <v>16756</v>
      </c>
      <c r="J11" s="80">
        <f t="shared" si="0"/>
        <v>-0.31872331774750962</v>
      </c>
      <c r="K11" s="25">
        <f t="shared" si="1"/>
        <v>-7839</v>
      </c>
      <c r="L11" s="81">
        <f t="shared" si="2"/>
        <v>3.396413050528637E-2</v>
      </c>
      <c r="P11" s="89"/>
    </row>
    <row r="12" spans="2:16" x14ac:dyDescent="0.25">
      <c r="B12" s="22"/>
      <c r="C12" s="23"/>
      <c r="D12" s="24" t="s">
        <v>50</v>
      </c>
      <c r="E12" s="25">
        <v>52374</v>
      </c>
      <c r="F12" s="25">
        <v>64171</v>
      </c>
      <c r="G12" s="25">
        <v>70925</v>
      </c>
      <c r="H12" s="25">
        <v>81853</v>
      </c>
      <c r="I12" s="25">
        <v>83480</v>
      </c>
      <c r="J12" s="80">
        <f t="shared" si="0"/>
        <v>1.9877096746606648E-2</v>
      </c>
      <c r="K12" s="25">
        <f t="shared" si="1"/>
        <v>1627</v>
      </c>
      <c r="L12" s="81">
        <f t="shared" si="2"/>
        <v>0.16921255756632289</v>
      </c>
      <c r="P12" s="89"/>
    </row>
    <row r="13" spans="2:16" x14ac:dyDescent="0.25">
      <c r="B13" s="22"/>
      <c r="C13" s="23"/>
      <c r="D13" s="24" t="s">
        <v>51</v>
      </c>
      <c r="E13" s="25">
        <v>3380</v>
      </c>
      <c r="F13" s="25">
        <v>4025</v>
      </c>
      <c r="G13" s="25">
        <v>4419</v>
      </c>
      <c r="H13" s="25">
        <v>4919</v>
      </c>
      <c r="I13" s="25">
        <v>5990</v>
      </c>
      <c r="J13" s="80">
        <f t="shared" si="0"/>
        <v>0.21772718032120353</v>
      </c>
      <c r="K13" s="25">
        <f t="shared" si="1"/>
        <v>1071</v>
      </c>
      <c r="L13" s="81">
        <f t="shared" si="2"/>
        <v>1.214162937017578E-2</v>
      </c>
      <c r="P13" s="89"/>
    </row>
    <row r="14" spans="2:16" x14ac:dyDescent="0.25">
      <c r="B14" s="22"/>
      <c r="C14" s="23"/>
      <c r="D14" s="24" t="s">
        <v>52</v>
      </c>
      <c r="E14" s="25">
        <v>13324</v>
      </c>
      <c r="F14" s="25">
        <v>20050</v>
      </c>
      <c r="G14" s="25">
        <v>26095</v>
      </c>
      <c r="H14" s="25">
        <v>21212</v>
      </c>
      <c r="I14" s="25">
        <v>20345</v>
      </c>
      <c r="J14" s="80">
        <f t="shared" si="0"/>
        <v>-4.0873090703375414E-2</v>
      </c>
      <c r="K14" s="25">
        <f t="shared" si="1"/>
        <v>-867</v>
      </c>
      <c r="L14" s="81">
        <f t="shared" si="2"/>
        <v>4.1238973211390022E-2</v>
      </c>
      <c r="P14" s="89"/>
    </row>
    <row r="15" spans="2:16" x14ac:dyDescent="0.25">
      <c r="B15" s="22"/>
      <c r="C15" s="23"/>
      <c r="D15" s="24" t="s">
        <v>53</v>
      </c>
      <c r="E15" s="25">
        <v>19721</v>
      </c>
      <c r="F15" s="25">
        <v>21932</v>
      </c>
      <c r="G15" s="25">
        <v>20553</v>
      </c>
      <c r="H15" s="25">
        <v>19337</v>
      </c>
      <c r="I15" s="25">
        <v>24469</v>
      </c>
      <c r="J15" s="80">
        <f t="shared" si="0"/>
        <v>0.26539794176966436</v>
      </c>
      <c r="K15" s="25">
        <f t="shared" si="1"/>
        <v>5132</v>
      </c>
      <c r="L15" s="81">
        <f t="shared" si="2"/>
        <v>4.959825192968801E-2</v>
      </c>
      <c r="P15" s="89"/>
    </row>
    <row r="16" spans="2:16" x14ac:dyDescent="0.25">
      <c r="B16" s="22"/>
      <c r="C16" s="23"/>
      <c r="D16" s="24" t="s">
        <v>54</v>
      </c>
      <c r="E16" s="25">
        <v>23140</v>
      </c>
      <c r="F16" s="25">
        <v>22327</v>
      </c>
      <c r="G16" s="25">
        <v>25007</v>
      </c>
      <c r="H16" s="25">
        <v>27341</v>
      </c>
      <c r="I16" s="25">
        <v>26482</v>
      </c>
      <c r="J16" s="80">
        <f t="shared" si="0"/>
        <v>-3.1418016897699408E-2</v>
      </c>
      <c r="K16" s="25">
        <f t="shared" si="1"/>
        <v>-859</v>
      </c>
      <c r="L16" s="81">
        <f t="shared" si="2"/>
        <v>5.3678569112019202E-2</v>
      </c>
      <c r="P16" s="89"/>
    </row>
    <row r="17" spans="2:16" x14ac:dyDescent="0.25">
      <c r="B17" s="22"/>
      <c r="C17" s="28"/>
      <c r="D17" s="29" t="s">
        <v>55</v>
      </c>
      <c r="E17" s="90">
        <v>9641</v>
      </c>
      <c r="F17" s="90">
        <v>9567</v>
      </c>
      <c r="G17" s="90">
        <v>11329</v>
      </c>
      <c r="H17" s="90">
        <v>11427</v>
      </c>
      <c r="I17" s="90">
        <v>11558</v>
      </c>
      <c r="J17" s="31">
        <f t="shared" si="0"/>
        <v>1.1464076310492732E-2</v>
      </c>
      <c r="K17" s="90">
        <f t="shared" si="1"/>
        <v>131</v>
      </c>
      <c r="L17" s="58">
        <f t="shared" si="2"/>
        <v>2.3427871829798275E-2</v>
      </c>
      <c r="P17" s="89"/>
    </row>
    <row r="18" spans="2:16" x14ac:dyDescent="0.25">
      <c r="B18" s="22"/>
      <c r="C18" s="32" t="s">
        <v>18</v>
      </c>
      <c r="D18" s="86" t="s">
        <v>45</v>
      </c>
      <c r="E18" s="87">
        <v>412044</v>
      </c>
      <c r="F18" s="87">
        <v>499612</v>
      </c>
      <c r="G18" s="87">
        <v>547682</v>
      </c>
      <c r="H18" s="87">
        <v>570452</v>
      </c>
      <c r="I18" s="87">
        <v>569075</v>
      </c>
      <c r="J18" s="88">
        <f t="shared" si="0"/>
        <v>-2.4138753129097079E-3</v>
      </c>
      <c r="K18" s="87">
        <f t="shared" si="1"/>
        <v>-1377</v>
      </c>
      <c r="L18" s="88">
        <f t="shared" ref="L18:L19" si="3">I18/$I$18</f>
        <v>1</v>
      </c>
    </row>
    <row r="19" spans="2:16" x14ac:dyDescent="0.25">
      <c r="B19" s="22"/>
      <c r="C19" s="36"/>
      <c r="D19" s="33" t="s">
        <v>46</v>
      </c>
      <c r="E19" s="34">
        <v>157938</v>
      </c>
      <c r="F19" s="34">
        <v>186101</v>
      </c>
      <c r="G19" s="34">
        <v>202954</v>
      </c>
      <c r="H19" s="34">
        <v>203516</v>
      </c>
      <c r="I19" s="34">
        <v>198487</v>
      </c>
      <c r="J19" s="35">
        <f t="shared" si="0"/>
        <v>-2.4710587865327538E-2</v>
      </c>
      <c r="K19" s="34">
        <f t="shared" si="1"/>
        <v>-5029</v>
      </c>
      <c r="L19" s="21">
        <f t="shared" si="3"/>
        <v>0.34878882396872118</v>
      </c>
    </row>
    <row r="20" spans="2:16" x14ac:dyDescent="0.25">
      <c r="B20" s="22"/>
      <c r="C20" s="36"/>
      <c r="D20" s="4" t="s">
        <v>47</v>
      </c>
      <c r="E20" s="37">
        <v>102187</v>
      </c>
      <c r="F20" s="37">
        <v>133462</v>
      </c>
      <c r="G20" s="37">
        <v>142059</v>
      </c>
      <c r="H20" s="37">
        <v>146652</v>
      </c>
      <c r="I20" s="37">
        <v>153574</v>
      </c>
      <c r="J20" s="91">
        <f t="shared" si="0"/>
        <v>4.7200174562910924E-2</v>
      </c>
      <c r="K20" s="37">
        <f t="shared" si="1"/>
        <v>6922</v>
      </c>
      <c r="L20" s="81">
        <f>I20/$I$18</f>
        <v>0.26986601063128762</v>
      </c>
    </row>
    <row r="21" spans="2:16" x14ac:dyDescent="0.25">
      <c r="B21" s="22"/>
      <c r="C21" s="36"/>
      <c r="D21" s="4" t="s">
        <v>48</v>
      </c>
      <c r="E21" s="37">
        <v>3543</v>
      </c>
      <c r="F21" s="37">
        <v>3705</v>
      </c>
      <c r="G21" s="37">
        <v>4644</v>
      </c>
      <c r="H21" s="37">
        <v>4440</v>
      </c>
      <c r="I21" s="37">
        <v>4520</v>
      </c>
      <c r="J21" s="91">
        <f t="shared" si="0"/>
        <v>1.8018018018018056E-2</v>
      </c>
      <c r="K21" s="37">
        <f t="shared" si="1"/>
        <v>80</v>
      </c>
      <c r="L21" s="81">
        <f t="shared" ref="L21:L28" si="4">I21/$I$18</f>
        <v>7.9427140535078856E-3</v>
      </c>
    </row>
    <row r="22" spans="2:16" x14ac:dyDescent="0.25">
      <c r="B22" s="22"/>
      <c r="C22" s="36"/>
      <c r="D22" s="4" t="s">
        <v>49</v>
      </c>
      <c r="E22" s="37">
        <v>14701</v>
      </c>
      <c r="F22" s="37">
        <v>16163</v>
      </c>
      <c r="G22" s="37">
        <v>19106</v>
      </c>
      <c r="H22" s="37">
        <v>27860</v>
      </c>
      <c r="I22" s="37">
        <v>18834</v>
      </c>
      <c r="J22" s="91">
        <f t="shared" si="0"/>
        <v>-0.32397702799712846</v>
      </c>
      <c r="K22" s="37">
        <f t="shared" si="1"/>
        <v>-9026</v>
      </c>
      <c r="L22" s="81">
        <f t="shared" si="4"/>
        <v>3.3095813381364497E-2</v>
      </c>
    </row>
    <row r="23" spans="2:16" x14ac:dyDescent="0.25">
      <c r="B23" s="22"/>
      <c r="C23" s="36"/>
      <c r="D23" s="4" t="s">
        <v>50</v>
      </c>
      <c r="E23" s="37">
        <v>58767</v>
      </c>
      <c r="F23" s="37">
        <v>73725</v>
      </c>
      <c r="G23" s="37">
        <v>81280</v>
      </c>
      <c r="H23" s="37">
        <v>93990</v>
      </c>
      <c r="I23" s="37">
        <v>94842</v>
      </c>
      <c r="J23" s="91">
        <f t="shared" si="0"/>
        <v>9.0647941270347587E-3</v>
      </c>
      <c r="K23" s="37">
        <f t="shared" si="1"/>
        <v>852</v>
      </c>
      <c r="L23" s="81">
        <f t="shared" si="4"/>
        <v>0.16665993058911391</v>
      </c>
    </row>
    <row r="24" spans="2:16" x14ac:dyDescent="0.25">
      <c r="B24" s="22"/>
      <c r="C24" s="36"/>
      <c r="D24" s="4" t="s">
        <v>51</v>
      </c>
      <c r="E24" s="37">
        <v>3518</v>
      </c>
      <c r="F24" s="37">
        <v>4228</v>
      </c>
      <c r="G24" s="37">
        <v>4556</v>
      </c>
      <c r="H24" s="37">
        <v>5166</v>
      </c>
      <c r="I24" s="37">
        <v>6283</v>
      </c>
      <c r="J24" s="91">
        <f t="shared" si="0"/>
        <v>0.21622144792876496</v>
      </c>
      <c r="K24" s="37">
        <f t="shared" si="1"/>
        <v>1117</v>
      </c>
      <c r="L24" s="81">
        <f t="shared" si="4"/>
        <v>1.1040723981900452E-2</v>
      </c>
    </row>
    <row r="25" spans="2:16" x14ac:dyDescent="0.25">
      <c r="B25" s="22"/>
      <c r="C25" s="36"/>
      <c r="D25" s="4" t="s">
        <v>52</v>
      </c>
      <c r="E25" s="37">
        <v>15495</v>
      </c>
      <c r="F25" s="37">
        <v>22985</v>
      </c>
      <c r="G25" s="37">
        <v>29771</v>
      </c>
      <c r="H25" s="37">
        <v>24336</v>
      </c>
      <c r="I25" s="37">
        <v>23284</v>
      </c>
      <c r="J25" s="91">
        <f t="shared" si="0"/>
        <v>-4.3228139381985553E-2</v>
      </c>
      <c r="K25" s="37">
        <f t="shared" si="1"/>
        <v>-1052</v>
      </c>
      <c r="L25" s="81">
        <f t="shared" si="4"/>
        <v>4.0915520801300356E-2</v>
      </c>
    </row>
    <row r="26" spans="2:16" x14ac:dyDescent="0.25">
      <c r="B26" s="22"/>
      <c r="C26" s="36"/>
      <c r="D26" s="4" t="s">
        <v>53</v>
      </c>
      <c r="E26" s="37">
        <v>20259</v>
      </c>
      <c r="F26" s="37">
        <v>22673</v>
      </c>
      <c r="G26" s="37">
        <v>21328</v>
      </c>
      <c r="H26" s="37">
        <v>20067</v>
      </c>
      <c r="I26" s="37">
        <v>25509</v>
      </c>
      <c r="J26" s="91">
        <f t="shared" si="0"/>
        <v>0.27119150844670359</v>
      </c>
      <c r="K26" s="37">
        <f t="shared" si="1"/>
        <v>5442</v>
      </c>
      <c r="L26" s="81">
        <f t="shared" si="4"/>
        <v>4.4825374511268286E-2</v>
      </c>
    </row>
    <row r="27" spans="2:16" x14ac:dyDescent="0.25">
      <c r="B27" s="22"/>
      <c r="C27" s="36"/>
      <c r="D27" s="4" t="s">
        <v>54</v>
      </c>
      <c r="E27" s="37">
        <v>25271</v>
      </c>
      <c r="F27" s="37">
        <v>25947</v>
      </c>
      <c r="G27" s="37">
        <v>29384</v>
      </c>
      <c r="H27" s="37">
        <v>31676</v>
      </c>
      <c r="I27" s="37">
        <v>30882</v>
      </c>
      <c r="J27" s="38">
        <f t="shared" si="0"/>
        <v>-2.5066296249526498E-2</v>
      </c>
      <c r="K27" s="37">
        <f t="shared" si="1"/>
        <v>-794</v>
      </c>
      <c r="L27" s="39">
        <f t="shared" si="4"/>
        <v>5.4267012256732416E-2</v>
      </c>
    </row>
    <row r="28" spans="2:16" x14ac:dyDescent="0.25">
      <c r="B28" s="22"/>
      <c r="C28" s="40"/>
      <c r="D28" s="41" t="s">
        <v>55</v>
      </c>
      <c r="E28" s="92">
        <v>10365</v>
      </c>
      <c r="F28" s="92">
        <v>10623</v>
      </c>
      <c r="G28" s="92">
        <v>12600</v>
      </c>
      <c r="H28" s="92">
        <v>12749</v>
      </c>
      <c r="I28" s="92">
        <v>12860</v>
      </c>
      <c r="J28" s="43">
        <f t="shared" si="0"/>
        <v>8.7065652208015987E-3</v>
      </c>
      <c r="K28" s="92">
        <f t="shared" si="1"/>
        <v>111</v>
      </c>
      <c r="L28" s="93">
        <f t="shared" si="4"/>
        <v>2.2598075824803408E-2</v>
      </c>
    </row>
    <row r="29" spans="2:16" x14ac:dyDescent="0.25">
      <c r="B29" s="22"/>
      <c r="C29" s="17" t="s">
        <v>21</v>
      </c>
      <c r="D29" s="86" t="s">
        <v>45</v>
      </c>
      <c r="E29" s="87">
        <v>2294198</v>
      </c>
      <c r="F29" s="87">
        <v>2809781</v>
      </c>
      <c r="G29" s="87">
        <v>3055908</v>
      </c>
      <c r="H29" s="87">
        <v>3165719</v>
      </c>
      <c r="I29" s="87">
        <v>3096132</v>
      </c>
      <c r="J29" s="88">
        <f t="shared" si="0"/>
        <v>-2.1981420334527435E-2</v>
      </c>
      <c r="K29" s="87">
        <f t="shared" si="1"/>
        <v>-69587</v>
      </c>
      <c r="L29" s="88">
        <f t="shared" ref="L29:L30" si="5">I29/$I$29</f>
        <v>1</v>
      </c>
    </row>
    <row r="30" spans="2:16" x14ac:dyDescent="0.25">
      <c r="B30" s="22"/>
      <c r="C30" s="23"/>
      <c r="D30" s="18" t="s">
        <v>46</v>
      </c>
      <c r="E30" s="19">
        <v>953288</v>
      </c>
      <c r="F30" s="19">
        <v>1125132</v>
      </c>
      <c r="G30" s="19">
        <v>1207802</v>
      </c>
      <c r="H30" s="19">
        <v>1223794</v>
      </c>
      <c r="I30" s="19">
        <v>1174493</v>
      </c>
      <c r="J30" s="20">
        <f t="shared" si="0"/>
        <v>-4.0285374826155351E-2</v>
      </c>
      <c r="K30" s="19">
        <f t="shared" si="1"/>
        <v>-49301</v>
      </c>
      <c r="L30" s="21">
        <f t="shared" si="5"/>
        <v>0.37934203063693667</v>
      </c>
    </row>
    <row r="31" spans="2:16" x14ac:dyDescent="0.25">
      <c r="B31" s="22"/>
      <c r="C31" s="23"/>
      <c r="D31" s="24" t="s">
        <v>47</v>
      </c>
      <c r="E31" s="25">
        <v>627412</v>
      </c>
      <c r="F31" s="25">
        <v>801936</v>
      </c>
      <c r="G31" s="25">
        <v>863416</v>
      </c>
      <c r="H31" s="25">
        <v>870321</v>
      </c>
      <c r="I31" s="25">
        <v>899430</v>
      </c>
      <c r="J31" s="80">
        <f>I31/H31-1</f>
        <v>3.3446280165594144E-2</v>
      </c>
      <c r="K31" s="25">
        <f t="shared" si="1"/>
        <v>29109</v>
      </c>
      <c r="L31" s="81">
        <f>I31/$I$29</f>
        <v>0.2905011801822403</v>
      </c>
    </row>
    <row r="32" spans="2:16" x14ac:dyDescent="0.25">
      <c r="B32" s="22"/>
      <c r="C32" s="23"/>
      <c r="D32" s="24" t="s">
        <v>48</v>
      </c>
      <c r="E32" s="25">
        <v>14521</v>
      </c>
      <c r="F32" s="25">
        <v>14638</v>
      </c>
      <c r="G32" s="25">
        <v>17811</v>
      </c>
      <c r="H32" s="25">
        <v>17886</v>
      </c>
      <c r="I32" s="25">
        <v>17145</v>
      </c>
      <c r="J32" s="80">
        <f t="shared" ref="J32:J41" si="6">I32/H32-1</f>
        <v>-4.1429050654142929E-2</v>
      </c>
      <c r="K32" s="25">
        <f t="shared" si="1"/>
        <v>-741</v>
      </c>
      <c r="L32" s="81">
        <f t="shared" ref="L32:L39" si="7">I32/$I$29</f>
        <v>5.5375546003852546E-3</v>
      </c>
    </row>
    <row r="33" spans="2:12" x14ac:dyDescent="0.25">
      <c r="B33" s="22"/>
      <c r="C33" s="23"/>
      <c r="D33" s="24" t="s">
        <v>49</v>
      </c>
      <c r="E33" s="25">
        <v>74494</v>
      </c>
      <c r="F33" s="25">
        <v>96232</v>
      </c>
      <c r="G33" s="25">
        <v>103075</v>
      </c>
      <c r="H33" s="25">
        <v>146033</v>
      </c>
      <c r="I33" s="25">
        <v>99062</v>
      </c>
      <c r="J33" s="80">
        <f t="shared" si="6"/>
        <v>-0.32164647716611994</v>
      </c>
      <c r="K33" s="25">
        <f t="shared" si="1"/>
        <v>-46971</v>
      </c>
      <c r="L33" s="81">
        <f t="shared" si="7"/>
        <v>3.1995405880627825E-2</v>
      </c>
    </row>
    <row r="34" spans="2:12" x14ac:dyDescent="0.25">
      <c r="B34" s="22"/>
      <c r="C34" s="23"/>
      <c r="D34" s="24" t="s">
        <v>50</v>
      </c>
      <c r="E34" s="25">
        <v>287185</v>
      </c>
      <c r="F34" s="25">
        <v>375972</v>
      </c>
      <c r="G34" s="25">
        <v>428972</v>
      </c>
      <c r="H34" s="25">
        <v>490987</v>
      </c>
      <c r="I34" s="25">
        <v>476664</v>
      </c>
      <c r="J34" s="80">
        <f t="shared" si="6"/>
        <v>-2.9171851800556814E-2</v>
      </c>
      <c r="K34" s="25">
        <f t="shared" si="1"/>
        <v>-14323</v>
      </c>
      <c r="L34" s="81">
        <f t="shared" si="7"/>
        <v>0.15395467635100829</v>
      </c>
    </row>
    <row r="35" spans="2:12" x14ac:dyDescent="0.25">
      <c r="B35" s="22"/>
      <c r="C35" s="23"/>
      <c r="D35" s="24" t="s">
        <v>51</v>
      </c>
      <c r="E35" s="25">
        <v>10119</v>
      </c>
      <c r="F35" s="25">
        <v>11595</v>
      </c>
      <c r="G35" s="25">
        <v>11107</v>
      </c>
      <c r="H35" s="25">
        <v>12187</v>
      </c>
      <c r="I35" s="25">
        <v>14433</v>
      </c>
      <c r="J35" s="80">
        <f t="shared" si="6"/>
        <v>0.18429474029703785</v>
      </c>
      <c r="K35" s="25">
        <f t="shared" si="1"/>
        <v>2246</v>
      </c>
      <c r="L35" s="81">
        <f t="shared" si="7"/>
        <v>4.6616229540600981E-3</v>
      </c>
    </row>
    <row r="36" spans="2:12" x14ac:dyDescent="0.25">
      <c r="B36" s="22"/>
      <c r="C36" s="23"/>
      <c r="D36" s="24" t="s">
        <v>52</v>
      </c>
      <c r="E36" s="25">
        <v>105169</v>
      </c>
      <c r="F36" s="25">
        <v>132612</v>
      </c>
      <c r="G36" s="25">
        <v>146405</v>
      </c>
      <c r="H36" s="25">
        <v>126079</v>
      </c>
      <c r="I36" s="25">
        <v>119104</v>
      </c>
      <c r="J36" s="80">
        <f t="shared" si="6"/>
        <v>-5.5322456555017108E-2</v>
      </c>
      <c r="K36" s="25">
        <f t="shared" si="1"/>
        <v>-6975</v>
      </c>
      <c r="L36" s="81">
        <f t="shared" si="7"/>
        <v>3.8468644101737268E-2</v>
      </c>
    </row>
    <row r="37" spans="2:12" x14ac:dyDescent="0.25">
      <c r="B37" s="22"/>
      <c r="C37" s="23"/>
      <c r="D37" s="24" t="s">
        <v>53</v>
      </c>
      <c r="E37" s="25">
        <v>42785</v>
      </c>
      <c r="F37" s="25">
        <v>48246</v>
      </c>
      <c r="G37" s="25">
        <v>49321</v>
      </c>
      <c r="H37" s="25">
        <v>43124</v>
      </c>
      <c r="I37" s="25">
        <v>55510</v>
      </c>
      <c r="J37" s="80">
        <f t="shared" si="6"/>
        <v>0.28721825433633241</v>
      </c>
      <c r="K37" s="25">
        <f t="shared" si="1"/>
        <v>12386</v>
      </c>
      <c r="L37" s="81">
        <f t="shared" si="7"/>
        <v>1.79288221561613E-2</v>
      </c>
    </row>
    <row r="38" spans="2:12" x14ac:dyDescent="0.25">
      <c r="B38" s="22"/>
      <c r="C38" s="23"/>
      <c r="D38" s="24" t="s">
        <v>54</v>
      </c>
      <c r="E38" s="25">
        <v>137179</v>
      </c>
      <c r="F38" s="25">
        <v>154114</v>
      </c>
      <c r="G38" s="25">
        <v>170708</v>
      </c>
      <c r="H38" s="25">
        <v>177711</v>
      </c>
      <c r="I38" s="25">
        <v>182092</v>
      </c>
      <c r="J38" s="26">
        <f t="shared" si="6"/>
        <v>2.4652385052135184E-2</v>
      </c>
      <c r="K38" s="25">
        <f t="shared" si="1"/>
        <v>4381</v>
      </c>
      <c r="L38" s="27">
        <f t="shared" si="7"/>
        <v>5.8812737958200752E-2</v>
      </c>
    </row>
    <row r="39" spans="2:12" x14ac:dyDescent="0.25">
      <c r="B39" s="22"/>
      <c r="C39" s="28"/>
      <c r="D39" s="29" t="s">
        <v>55</v>
      </c>
      <c r="E39" s="90">
        <v>42046</v>
      </c>
      <c r="F39" s="90">
        <v>49304</v>
      </c>
      <c r="G39" s="90">
        <v>57291</v>
      </c>
      <c r="H39" s="90">
        <v>57597</v>
      </c>
      <c r="I39" s="90">
        <v>58199</v>
      </c>
      <c r="J39" s="31">
        <f t="shared" si="6"/>
        <v>1.0451933260412938E-2</v>
      </c>
      <c r="K39" s="90">
        <f t="shared" si="1"/>
        <v>602</v>
      </c>
      <c r="L39" s="58">
        <f t="shared" si="7"/>
        <v>1.8797325178642254E-2</v>
      </c>
    </row>
    <row r="40" spans="2:12" x14ac:dyDescent="0.25">
      <c r="B40" s="22"/>
      <c r="C40" s="94" t="s">
        <v>22</v>
      </c>
      <c r="D40" s="86" t="s">
        <v>45</v>
      </c>
      <c r="E40" s="95">
        <v>6.2514251147176472</v>
      </c>
      <c r="F40" s="95">
        <v>6.4930304248760216</v>
      </c>
      <c r="G40" s="95">
        <v>6.478512780395973</v>
      </c>
      <c r="H40" s="95">
        <v>6.4268249356955938</v>
      </c>
      <c r="I40" s="95">
        <v>6.2758075501070243</v>
      </c>
      <c r="J40" s="88">
        <f t="shared" si="6"/>
        <v>-2.3497977165955697E-2</v>
      </c>
      <c r="K40" s="95">
        <f t="shared" si="1"/>
        <v>-0.15101738558856947</v>
      </c>
      <c r="L40" s="88"/>
    </row>
    <row r="41" spans="2:12" x14ac:dyDescent="0.25">
      <c r="B41" s="22"/>
      <c r="C41" s="96"/>
      <c r="D41" s="33" t="s">
        <v>46</v>
      </c>
      <c r="E41" s="44">
        <v>6.852862524082008</v>
      </c>
      <c r="F41" s="44">
        <v>7.0641728353204876</v>
      </c>
      <c r="G41" s="44">
        <v>7.0118722097404369</v>
      </c>
      <c r="H41" s="44">
        <v>7.0798877672037257</v>
      </c>
      <c r="I41" s="44">
        <v>6.9187534976878444</v>
      </c>
      <c r="J41" s="45">
        <f t="shared" si="6"/>
        <v>-2.2759438399900356E-2</v>
      </c>
      <c r="K41" s="46">
        <f t="shared" si="1"/>
        <v>-0.16113426951588128</v>
      </c>
      <c r="L41" s="47"/>
    </row>
    <row r="42" spans="2:12" x14ac:dyDescent="0.25">
      <c r="B42" s="22"/>
      <c r="C42" s="96"/>
      <c r="D42" s="4" t="s">
        <v>47</v>
      </c>
      <c r="E42" s="48">
        <v>7.0135595872877472</v>
      </c>
      <c r="F42" s="48">
        <v>7.0836770928106425</v>
      </c>
      <c r="G42" s="48">
        <v>7.2239690096301068</v>
      </c>
      <c r="H42" s="48">
        <v>6.9581148065238247</v>
      </c>
      <c r="I42" s="48">
        <v>6.896675995859372</v>
      </c>
      <c r="J42" s="97">
        <f t="shared" si="0"/>
        <v>-8.8298069768623089E-3</v>
      </c>
      <c r="K42" s="50">
        <f t="shared" si="1"/>
        <v>-6.1438810664452781E-2</v>
      </c>
      <c r="L42" s="98"/>
    </row>
    <row r="43" spans="2:12" x14ac:dyDescent="0.25">
      <c r="B43" s="22"/>
      <c r="C43" s="96"/>
      <c r="D43" s="4" t="s">
        <v>48</v>
      </c>
      <c r="E43" s="48">
        <v>4.5606155778894468</v>
      </c>
      <c r="F43" s="48">
        <v>4.2964484884062228</v>
      </c>
      <c r="G43" s="48">
        <v>4.1927966101694913</v>
      </c>
      <c r="H43" s="48">
        <v>4.5166666666666666</v>
      </c>
      <c r="I43" s="48">
        <v>4.1878358573522227</v>
      </c>
      <c r="J43" s="97">
        <f t="shared" si="0"/>
        <v>-7.2803869220910089E-2</v>
      </c>
      <c r="K43" s="50">
        <f t="shared" si="1"/>
        <v>-0.32883080931444386</v>
      </c>
      <c r="L43" s="98"/>
    </row>
    <row r="44" spans="2:12" x14ac:dyDescent="0.25">
      <c r="B44" s="22"/>
      <c r="C44" s="96"/>
      <c r="D44" s="4" t="s">
        <v>49</v>
      </c>
      <c r="E44" s="48">
        <v>5.4538399590013906</v>
      </c>
      <c r="F44" s="48">
        <v>6.51228260133992</v>
      </c>
      <c r="G44" s="48">
        <v>5.9405797936718345</v>
      </c>
      <c r="H44" s="48">
        <v>5.9375076235007116</v>
      </c>
      <c r="I44" s="48">
        <v>5.9120315111005013</v>
      </c>
      <c r="J44" s="97">
        <f t="shared" si="0"/>
        <v>-4.2907081583146711E-3</v>
      </c>
      <c r="K44" s="50">
        <f t="shared" si="1"/>
        <v>-2.5476112400210305E-2</v>
      </c>
      <c r="L44" s="98"/>
    </row>
    <row r="45" spans="2:12" x14ac:dyDescent="0.25">
      <c r="B45" s="22"/>
      <c r="C45" s="96"/>
      <c r="D45" s="4" t="s">
        <v>50</v>
      </c>
      <c r="E45" s="48">
        <v>5.4833505174323136</v>
      </c>
      <c r="F45" s="48">
        <v>5.8589082295741068</v>
      </c>
      <c r="G45" s="48">
        <v>6.0482481494536486</v>
      </c>
      <c r="H45" s="48">
        <v>5.9983995699607835</v>
      </c>
      <c r="I45" s="48">
        <v>5.7099185433636803</v>
      </c>
      <c r="J45" s="97">
        <f t="shared" si="0"/>
        <v>-4.8092999346322163E-2</v>
      </c>
      <c r="K45" s="50">
        <f t="shared" si="1"/>
        <v>-0.28848102659710317</v>
      </c>
      <c r="L45" s="98"/>
    </row>
    <row r="46" spans="2:12" x14ac:dyDescent="0.25">
      <c r="B46" s="22"/>
      <c r="C46" s="96"/>
      <c r="D46" s="4" t="s">
        <v>51</v>
      </c>
      <c r="E46" s="48">
        <v>2.9937869822485208</v>
      </c>
      <c r="F46" s="48">
        <v>2.8807453416149067</v>
      </c>
      <c r="G46" s="48">
        <v>2.5134645847476804</v>
      </c>
      <c r="H46" s="48">
        <v>2.4775360845700347</v>
      </c>
      <c r="I46" s="48">
        <v>2.4095158597662771</v>
      </c>
      <c r="J46" s="97">
        <f t="shared" si="0"/>
        <v>-2.745478672435242E-2</v>
      </c>
      <c r="K46" s="50">
        <f t="shared" si="1"/>
        <v>-6.8020224803757579E-2</v>
      </c>
      <c r="L46" s="98"/>
    </row>
    <row r="47" spans="2:12" x14ac:dyDescent="0.25">
      <c r="B47" s="22"/>
      <c r="C47" s="96"/>
      <c r="D47" s="4" t="s">
        <v>52</v>
      </c>
      <c r="E47" s="48">
        <v>7.8932002401681176</v>
      </c>
      <c r="F47" s="48">
        <v>6.6140648379052367</v>
      </c>
      <c r="G47" s="48">
        <v>5.6104617742862617</v>
      </c>
      <c r="H47" s="48">
        <v>5.9437582500471429</v>
      </c>
      <c r="I47" s="48">
        <v>5.8542147947898746</v>
      </c>
      <c r="J47" s="97">
        <f t="shared" si="0"/>
        <v>-1.5065124032687227E-2</v>
      </c>
      <c r="K47" s="50">
        <f t="shared" si="1"/>
        <v>-8.9543455257268256E-2</v>
      </c>
      <c r="L47" s="98"/>
    </row>
    <row r="48" spans="2:12" x14ac:dyDescent="0.25">
      <c r="B48" s="22"/>
      <c r="C48" s="96"/>
      <c r="D48" s="4" t="s">
        <v>53</v>
      </c>
      <c r="E48" s="48">
        <v>2.1695147304903402</v>
      </c>
      <c r="F48" s="48">
        <v>2.1997993799015139</v>
      </c>
      <c r="G48" s="48">
        <v>2.3996983408748114</v>
      </c>
      <c r="H48" s="48">
        <v>2.2301287686818019</v>
      </c>
      <c r="I48" s="48">
        <v>2.2685847398749437</v>
      </c>
      <c r="J48" s="97">
        <f t="shared" si="0"/>
        <v>1.7243834406868164E-2</v>
      </c>
      <c r="K48" s="50">
        <f t="shared" si="1"/>
        <v>3.8455971193141814E-2</v>
      </c>
      <c r="L48" s="98"/>
    </row>
    <row r="49" spans="2:12" x14ac:dyDescent="0.25">
      <c r="B49" s="22"/>
      <c r="C49" s="96"/>
      <c r="D49" s="4" t="s">
        <v>54</v>
      </c>
      <c r="E49" s="48">
        <v>5.9282195332757128</v>
      </c>
      <c r="F49" s="48">
        <v>6.9025843149549875</v>
      </c>
      <c r="G49" s="48">
        <v>6.8264086055904345</v>
      </c>
      <c r="H49" s="48">
        <v>6.499798836911598</v>
      </c>
      <c r="I49" s="48">
        <v>6.8760667623291294</v>
      </c>
      <c r="J49" s="49">
        <f t="shared" si="0"/>
        <v>5.7889164704721274E-2</v>
      </c>
      <c r="K49" s="50">
        <f t="shared" si="1"/>
        <v>0.3762679254175314</v>
      </c>
      <c r="L49" s="51"/>
    </row>
    <row r="50" spans="2:12" x14ac:dyDescent="0.25">
      <c r="B50" s="22"/>
      <c r="C50" s="99"/>
      <c r="D50" s="41" t="s">
        <v>55</v>
      </c>
      <c r="E50" s="100">
        <v>4.361165854164506</v>
      </c>
      <c r="F50" s="100">
        <v>5.1535486568412248</v>
      </c>
      <c r="G50" s="100">
        <v>5.0570218024538791</v>
      </c>
      <c r="H50" s="100">
        <v>5.0404305592018899</v>
      </c>
      <c r="I50" s="100">
        <v>5.0353867451116114</v>
      </c>
      <c r="J50" s="83">
        <f t="shared" si="0"/>
        <v>-1.000671278184817E-3</v>
      </c>
      <c r="K50" s="101">
        <f t="shared" si="1"/>
        <v>-5.0438140902784312E-3</v>
      </c>
      <c r="L50" s="73"/>
    </row>
    <row r="51" spans="2:12" x14ac:dyDescent="0.25">
      <c r="B51" s="22"/>
      <c r="C51" s="53" t="s">
        <v>36</v>
      </c>
      <c r="D51" s="86" t="s">
        <v>45</v>
      </c>
      <c r="E51" s="88">
        <v>0.65</v>
      </c>
      <c r="F51" s="88">
        <v>0.72849999999999993</v>
      </c>
      <c r="G51" s="88">
        <v>19.420500000000001</v>
      </c>
      <c r="H51" s="88">
        <v>19.4651</v>
      </c>
      <c r="I51" s="88">
        <v>19.403499999999994</v>
      </c>
      <c r="J51" s="88">
        <f t="shared" si="0"/>
        <v>-3.1646382499964654E-3</v>
      </c>
      <c r="K51" s="95">
        <f t="shared" ref="K51" si="8">(I51-H51)*100</f>
        <v>-6.160000000000565</v>
      </c>
      <c r="L51" s="88"/>
    </row>
    <row r="52" spans="2:12" x14ac:dyDescent="0.25">
      <c r="B52" s="22"/>
      <c r="C52" s="55"/>
      <c r="D52" s="18" t="s">
        <v>46</v>
      </c>
      <c r="E52" s="21">
        <v>0.76</v>
      </c>
      <c r="F52" s="21">
        <v>0.8234999999999999</v>
      </c>
      <c r="G52" s="21">
        <v>0.83819999999999995</v>
      </c>
      <c r="H52" s="21">
        <v>0.8397</v>
      </c>
      <c r="I52" s="21">
        <v>0.82230000000000003</v>
      </c>
      <c r="J52" s="20">
        <f t="shared" si="0"/>
        <v>-2.0721686316541588E-2</v>
      </c>
      <c r="K52" s="54">
        <f>(I52-H52)*100</f>
        <v>-1.7399999999999971</v>
      </c>
      <c r="L52" s="21"/>
    </row>
    <row r="53" spans="2:12" x14ac:dyDescent="0.25">
      <c r="B53" s="22"/>
      <c r="C53" s="55"/>
      <c r="D53" s="24" t="s">
        <v>47</v>
      </c>
      <c r="E53" s="81">
        <v>0.57179999999999997</v>
      </c>
      <c r="F53" s="81">
        <v>0.66269999999999996</v>
      </c>
      <c r="G53" s="81">
        <v>0.74870000000000003</v>
      </c>
      <c r="H53" s="81">
        <v>0.73659999999999992</v>
      </c>
      <c r="I53" s="81">
        <v>0.78379999999999994</v>
      </c>
      <c r="J53" s="80">
        <f t="shared" si="0"/>
        <v>6.407819712191154E-2</v>
      </c>
      <c r="K53" s="56">
        <f t="shared" ref="K53:K61" si="9">(I53-H53)*100</f>
        <v>4.7200000000000024</v>
      </c>
      <c r="L53" s="81"/>
    </row>
    <row r="54" spans="2:12" x14ac:dyDescent="0.25">
      <c r="B54" s="22"/>
      <c r="C54" s="55"/>
      <c r="D54" s="24" t="s">
        <v>48</v>
      </c>
      <c r="E54" s="81">
        <v>0.58409999999999995</v>
      </c>
      <c r="F54" s="81">
        <v>0.52579999999999993</v>
      </c>
      <c r="G54" s="81">
        <v>0.63</v>
      </c>
      <c r="H54" s="81">
        <v>0.63259999999999994</v>
      </c>
      <c r="I54" s="81">
        <v>0.61109999999999998</v>
      </c>
      <c r="J54" s="80">
        <f t="shared" si="0"/>
        <v>-3.3986721466961689E-2</v>
      </c>
      <c r="K54" s="56">
        <f t="shared" si="9"/>
        <v>-2.1499999999999964</v>
      </c>
      <c r="L54" s="81"/>
    </row>
    <row r="55" spans="2:12" x14ac:dyDescent="0.25">
      <c r="B55" s="22"/>
      <c r="C55" s="55"/>
      <c r="D55" s="24" t="s">
        <v>49</v>
      </c>
      <c r="E55" s="81">
        <v>0.56200000000000006</v>
      </c>
      <c r="F55" s="81">
        <v>0.68049999999999999</v>
      </c>
      <c r="G55" s="81">
        <v>0.77760000000000007</v>
      </c>
      <c r="H55" s="81">
        <v>1.0205</v>
      </c>
      <c r="I55" s="81">
        <v>0.69230000000000003</v>
      </c>
      <c r="J55" s="80">
        <f t="shared" si="0"/>
        <v>-0.3216070553650171</v>
      </c>
      <c r="K55" s="56">
        <f t="shared" si="9"/>
        <v>-32.819999999999993</v>
      </c>
      <c r="L55" s="81"/>
    </row>
    <row r="56" spans="2:12" x14ac:dyDescent="0.25">
      <c r="B56" s="22"/>
      <c r="C56" s="55"/>
      <c r="D56" s="24" t="s">
        <v>50</v>
      </c>
      <c r="E56" s="81">
        <v>0.5877</v>
      </c>
      <c r="F56" s="81">
        <v>0.67110000000000003</v>
      </c>
      <c r="G56" s="81">
        <v>0.71200000000000008</v>
      </c>
      <c r="H56" s="81">
        <v>0.78510000000000002</v>
      </c>
      <c r="I56" s="81">
        <v>0.76459999999999995</v>
      </c>
      <c r="J56" s="80">
        <f t="shared" si="0"/>
        <v>-2.6111323398293251E-2</v>
      </c>
      <c r="K56" s="56">
        <f t="shared" si="9"/>
        <v>-2.0500000000000074</v>
      </c>
      <c r="L56" s="81"/>
    </row>
    <row r="57" spans="2:12" x14ac:dyDescent="0.25">
      <c r="B57" s="22"/>
      <c r="C57" s="55"/>
      <c r="D57" s="24" t="s">
        <v>51</v>
      </c>
      <c r="E57" s="81">
        <v>0.52229999999999999</v>
      </c>
      <c r="F57" s="81">
        <v>0.56420000000000003</v>
      </c>
      <c r="G57" s="81">
        <v>0.53239999999999998</v>
      </c>
      <c r="H57" s="81">
        <v>0.58409999999999995</v>
      </c>
      <c r="I57" s="81">
        <v>0.69180000000000008</v>
      </c>
      <c r="J57" s="80">
        <f t="shared" si="0"/>
        <v>0.18438623523369313</v>
      </c>
      <c r="K57" s="56">
        <f t="shared" si="9"/>
        <v>10.770000000000014</v>
      </c>
      <c r="L57" s="81"/>
    </row>
    <row r="58" spans="2:12" x14ac:dyDescent="0.25">
      <c r="B58" s="22"/>
      <c r="C58" s="55"/>
      <c r="D58" s="24" t="s">
        <v>52</v>
      </c>
      <c r="E58" s="81">
        <v>0.81379999999999997</v>
      </c>
      <c r="F58" s="81">
        <v>0.89290000000000003</v>
      </c>
      <c r="G58" s="81">
        <v>0.99150000000000005</v>
      </c>
      <c r="H58" s="81">
        <v>0.8478</v>
      </c>
      <c r="I58" s="81">
        <v>0.82889999999999997</v>
      </c>
      <c r="J58" s="80">
        <f t="shared" si="0"/>
        <v>-2.2292993630573243E-2</v>
      </c>
      <c r="K58" s="56">
        <f t="shared" si="9"/>
        <v>-1.8900000000000028</v>
      </c>
      <c r="L58" s="81"/>
    </row>
    <row r="59" spans="2:12" x14ac:dyDescent="0.25">
      <c r="B59" s="22"/>
      <c r="C59" s="55"/>
      <c r="D59" s="24" t="s">
        <v>53</v>
      </c>
      <c r="E59" s="81">
        <v>0.5554</v>
      </c>
      <c r="F59" s="81">
        <v>0.54949999999999999</v>
      </c>
      <c r="G59" s="81">
        <v>0.57689999999999997</v>
      </c>
      <c r="H59" s="81">
        <v>0.52039999999999997</v>
      </c>
      <c r="I59" s="81">
        <v>0.6694</v>
      </c>
      <c r="J59" s="80">
        <f t="shared" si="0"/>
        <v>0.28631821675634139</v>
      </c>
      <c r="K59" s="56">
        <f t="shared" si="9"/>
        <v>14.900000000000002</v>
      </c>
      <c r="L59" s="81"/>
    </row>
    <row r="60" spans="2:12" x14ac:dyDescent="0.25">
      <c r="B60" s="22"/>
      <c r="C60" s="55"/>
      <c r="D60" s="24" t="s">
        <v>54</v>
      </c>
      <c r="E60" s="27">
        <v>0.69010000000000005</v>
      </c>
      <c r="F60" s="27">
        <v>0.77500000000000002</v>
      </c>
      <c r="G60" s="27">
        <v>0.85840000000000005</v>
      </c>
      <c r="H60" s="27">
        <v>0.89359999999999995</v>
      </c>
      <c r="I60" s="27">
        <v>0.90410000000000001</v>
      </c>
      <c r="J60" s="26">
        <f t="shared" si="0"/>
        <v>1.1750223813786986E-2</v>
      </c>
      <c r="K60" s="56">
        <f t="shared" si="9"/>
        <v>1.0500000000000065</v>
      </c>
      <c r="L60" s="27"/>
    </row>
    <row r="61" spans="2:12" x14ac:dyDescent="0.25">
      <c r="B61" s="22"/>
      <c r="C61" s="57"/>
      <c r="D61" s="29" t="s">
        <v>55</v>
      </c>
      <c r="E61" s="58">
        <v>0.39140000000000003</v>
      </c>
      <c r="F61" s="58">
        <v>0.51619999999999999</v>
      </c>
      <c r="G61" s="58">
        <v>0.59499999999999997</v>
      </c>
      <c r="H61" s="58">
        <v>0.5968</v>
      </c>
      <c r="I61" s="58">
        <v>0.60309999999999997</v>
      </c>
      <c r="J61" s="31">
        <f t="shared" si="0"/>
        <v>1.0556300268096397E-2</v>
      </c>
      <c r="K61" s="102">
        <f t="shared" si="9"/>
        <v>0.62999999999999723</v>
      </c>
      <c r="L61" s="58"/>
    </row>
    <row r="62" spans="2:12" x14ac:dyDescent="0.25">
      <c r="B62" s="22"/>
      <c r="C62" s="59" t="s">
        <v>56</v>
      </c>
      <c r="D62" s="86" t="s">
        <v>45</v>
      </c>
      <c r="E62" s="87">
        <v>113857</v>
      </c>
      <c r="F62" s="87">
        <v>124421</v>
      </c>
      <c r="G62" s="87">
        <v>126023</v>
      </c>
      <c r="H62" s="87">
        <v>128502.99999999999</v>
      </c>
      <c r="I62" s="87">
        <v>126315</v>
      </c>
      <c r="J62" s="88">
        <f t="shared" si="0"/>
        <v>-1.7026839840314945E-2</v>
      </c>
      <c r="K62" s="87">
        <f t="shared" ref="K62:K63" si="10">I62-H62</f>
        <v>-2187.9999999999854</v>
      </c>
      <c r="L62" s="88">
        <f t="shared" ref="L62:L63" si="11">I62/$I$62</f>
        <v>1</v>
      </c>
    </row>
    <row r="63" spans="2:12" x14ac:dyDescent="0.25">
      <c r="B63" s="22"/>
      <c r="C63" s="60"/>
      <c r="D63" s="33" t="s">
        <v>46</v>
      </c>
      <c r="E63" s="34">
        <v>40463.999999999993</v>
      </c>
      <c r="F63" s="34">
        <v>44073</v>
      </c>
      <c r="G63" s="34">
        <v>46483</v>
      </c>
      <c r="H63" s="34">
        <v>47014.999999999993</v>
      </c>
      <c r="I63" s="34">
        <v>46075</v>
      </c>
      <c r="J63" s="45">
        <f t="shared" si="0"/>
        <v>-1.9993619057747325E-2</v>
      </c>
      <c r="K63" s="34">
        <f t="shared" si="10"/>
        <v>-939.99999999999272</v>
      </c>
      <c r="L63" s="47">
        <f t="shared" si="11"/>
        <v>0.36476269643351938</v>
      </c>
    </row>
    <row r="64" spans="2:12" x14ac:dyDescent="0.25">
      <c r="B64" s="22"/>
      <c r="C64" s="60"/>
      <c r="D64" s="4" t="s">
        <v>47</v>
      </c>
      <c r="E64" s="37">
        <v>35395</v>
      </c>
      <c r="F64" s="37">
        <v>39033.000000000007</v>
      </c>
      <c r="G64" s="37">
        <v>37203</v>
      </c>
      <c r="H64" s="37">
        <v>38115</v>
      </c>
      <c r="I64" s="37">
        <v>37015</v>
      </c>
      <c r="J64" s="97">
        <f>I64/H64-1</f>
        <v>-2.8860028860028808E-2</v>
      </c>
      <c r="K64" s="37">
        <f>I64-H64</f>
        <v>-1100</v>
      </c>
      <c r="L64" s="98">
        <f>I64/$I$62</f>
        <v>0.29303724814946758</v>
      </c>
    </row>
    <row r="65" spans="2:12" x14ac:dyDescent="0.25">
      <c r="B65" s="22"/>
      <c r="C65" s="60"/>
      <c r="D65" s="4" t="s">
        <v>48</v>
      </c>
      <c r="E65" s="37">
        <v>802</v>
      </c>
      <c r="F65" s="37">
        <v>898</v>
      </c>
      <c r="G65" s="37">
        <v>912</v>
      </c>
      <c r="H65" s="37">
        <v>912</v>
      </c>
      <c r="I65" s="37">
        <v>905</v>
      </c>
      <c r="J65" s="97">
        <f t="shared" ref="J65:J72" si="12">I65/H65-1</f>
        <v>-7.6754385964912242E-3</v>
      </c>
      <c r="K65" s="37">
        <f t="shared" ref="K65:K72" si="13">I65-H65</f>
        <v>-7</v>
      </c>
      <c r="L65" s="98">
        <f t="shared" ref="L65:L72" si="14">I65/$I$62</f>
        <v>7.1646281122590347E-3</v>
      </c>
    </row>
    <row r="66" spans="2:12" x14ac:dyDescent="0.25">
      <c r="B66" s="22"/>
      <c r="C66" s="60"/>
      <c r="D66" s="4" t="s">
        <v>49</v>
      </c>
      <c r="E66" s="37">
        <v>4276</v>
      </c>
      <c r="F66" s="37">
        <v>4562</v>
      </c>
      <c r="G66" s="37">
        <v>4276</v>
      </c>
      <c r="H66" s="37">
        <v>4616</v>
      </c>
      <c r="I66" s="37">
        <v>4616</v>
      </c>
      <c r="J66" s="97">
        <f t="shared" si="12"/>
        <v>0</v>
      </c>
      <c r="K66" s="37">
        <f t="shared" si="13"/>
        <v>0</v>
      </c>
      <c r="L66" s="98">
        <f t="shared" si="14"/>
        <v>3.654356173059415E-2</v>
      </c>
    </row>
    <row r="67" spans="2:12" x14ac:dyDescent="0.25">
      <c r="B67" s="22"/>
      <c r="C67" s="60"/>
      <c r="D67" s="4" t="s">
        <v>50</v>
      </c>
      <c r="E67" s="37">
        <v>15763.999999999998</v>
      </c>
      <c r="F67" s="37">
        <v>18073</v>
      </c>
      <c r="G67" s="37">
        <v>19434</v>
      </c>
      <c r="H67" s="37">
        <v>20174</v>
      </c>
      <c r="I67" s="37">
        <v>20110.999999999996</v>
      </c>
      <c r="J67" s="97">
        <f t="shared" si="12"/>
        <v>-3.1228313671063379E-3</v>
      </c>
      <c r="K67" s="37">
        <f t="shared" si="13"/>
        <v>-63.000000000003638</v>
      </c>
      <c r="L67" s="98">
        <f t="shared" si="14"/>
        <v>0.1592130784150734</v>
      </c>
    </row>
    <row r="68" spans="2:12" x14ac:dyDescent="0.25">
      <c r="B68" s="22"/>
      <c r="C68" s="60"/>
      <c r="D68" s="4" t="s">
        <v>51</v>
      </c>
      <c r="E68" s="37">
        <v>625</v>
      </c>
      <c r="F68" s="37">
        <v>663</v>
      </c>
      <c r="G68" s="37">
        <v>673</v>
      </c>
      <c r="H68" s="37">
        <v>673</v>
      </c>
      <c r="I68" s="37">
        <v>673</v>
      </c>
      <c r="J68" s="97">
        <f t="shared" si="12"/>
        <v>0</v>
      </c>
      <c r="K68" s="37">
        <f t="shared" si="13"/>
        <v>0</v>
      </c>
      <c r="L68" s="98">
        <f t="shared" si="14"/>
        <v>5.3279499663539563E-3</v>
      </c>
    </row>
    <row r="69" spans="2:12" x14ac:dyDescent="0.25">
      <c r="B69" s="22"/>
      <c r="C69" s="60"/>
      <c r="D69" s="4" t="s">
        <v>52</v>
      </c>
      <c r="E69" s="37">
        <v>4169</v>
      </c>
      <c r="F69" s="37">
        <v>4791</v>
      </c>
      <c r="G69" s="37">
        <v>4763</v>
      </c>
      <c r="H69" s="37">
        <v>4797</v>
      </c>
      <c r="I69" s="37">
        <v>4635</v>
      </c>
      <c r="J69" s="97">
        <f t="shared" si="12"/>
        <v>-3.3771106941838602E-2</v>
      </c>
      <c r="K69" s="37">
        <f t="shared" si="13"/>
        <v>-162</v>
      </c>
      <c r="L69" s="98">
        <f t="shared" si="14"/>
        <v>3.6693979337370862E-2</v>
      </c>
    </row>
    <row r="70" spans="2:12" x14ac:dyDescent="0.25">
      <c r="B70" s="22"/>
      <c r="C70" s="60"/>
      <c r="D70" s="4" t="s">
        <v>53</v>
      </c>
      <c r="E70" s="37">
        <v>2484.9999999999995</v>
      </c>
      <c r="F70" s="37">
        <v>2832</v>
      </c>
      <c r="G70" s="37">
        <v>2758</v>
      </c>
      <c r="H70" s="37">
        <v>2672.9999999999995</v>
      </c>
      <c r="I70" s="37">
        <v>2675.0000000000005</v>
      </c>
      <c r="J70" s="97">
        <f t="shared" si="12"/>
        <v>7.4822297044563335E-4</v>
      </c>
      <c r="K70" s="37">
        <f t="shared" si="13"/>
        <v>2.0000000000009095</v>
      </c>
      <c r="L70" s="98">
        <f t="shared" si="14"/>
        <v>2.1177215690931405E-2</v>
      </c>
    </row>
    <row r="71" spans="2:12" x14ac:dyDescent="0.25">
      <c r="B71" s="22"/>
      <c r="C71" s="60"/>
      <c r="D71" s="4" t="s">
        <v>54</v>
      </c>
      <c r="E71" s="37">
        <v>6412</v>
      </c>
      <c r="F71" s="37">
        <v>6415</v>
      </c>
      <c r="G71" s="37">
        <v>6415</v>
      </c>
      <c r="H71" s="37">
        <v>6415</v>
      </c>
      <c r="I71" s="37">
        <v>6497</v>
      </c>
      <c r="J71" s="49">
        <f t="shared" si="12"/>
        <v>1.278254091971931E-2</v>
      </c>
      <c r="K71" s="37">
        <f t="shared" si="13"/>
        <v>82</v>
      </c>
      <c r="L71" s="51">
        <f t="shared" si="14"/>
        <v>5.1434904801488344E-2</v>
      </c>
    </row>
    <row r="72" spans="2:12" x14ac:dyDescent="0.25">
      <c r="B72" s="61"/>
      <c r="C72" s="62"/>
      <c r="D72" s="41" t="s">
        <v>55</v>
      </c>
      <c r="E72" s="92">
        <v>3464.9999999999995</v>
      </c>
      <c r="F72" s="92">
        <v>3080.9999999999995</v>
      </c>
      <c r="G72" s="92">
        <v>3106</v>
      </c>
      <c r="H72" s="92">
        <v>3112.9999999999995</v>
      </c>
      <c r="I72" s="92">
        <v>3112.9999999999995</v>
      </c>
      <c r="J72" s="83">
        <f t="shared" si="12"/>
        <v>0</v>
      </c>
      <c r="K72" s="92">
        <f t="shared" si="13"/>
        <v>0</v>
      </c>
      <c r="L72" s="73">
        <f t="shared" si="14"/>
        <v>2.4644737362941847E-2</v>
      </c>
    </row>
    <row r="73" spans="2:12" ht="7.5" customHeight="1" x14ac:dyDescent="0.25"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4"/>
    </row>
    <row r="74" spans="2:12" x14ac:dyDescent="0.25">
      <c r="B74" s="66" t="s">
        <v>57</v>
      </c>
      <c r="C74" s="66"/>
      <c r="D74" s="66"/>
      <c r="E74" s="66"/>
      <c r="F74" s="66"/>
      <c r="G74" s="66"/>
      <c r="H74" s="66"/>
      <c r="I74" s="66"/>
      <c r="J74" s="66"/>
      <c r="K74" s="66"/>
    </row>
    <row r="76" spans="2:12" x14ac:dyDescent="0.25">
      <c r="B76" s="74"/>
    </row>
    <row r="77" spans="2:12" ht="21.75" customHeight="1" thickBot="1" x14ac:dyDescent="0.3">
      <c r="B77" s="12" t="s">
        <v>58</v>
      </c>
      <c r="C77" s="12"/>
      <c r="D77" s="12"/>
      <c r="E77" s="12"/>
      <c r="F77" s="12"/>
      <c r="G77" s="12"/>
      <c r="H77" s="12"/>
      <c r="I77" s="12"/>
      <c r="J77" s="12"/>
      <c r="K77" s="12"/>
      <c r="L77" s="13"/>
    </row>
    <row r="78" spans="2:12" ht="6" customHeight="1" thickBo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60" x14ac:dyDescent="0.25">
      <c r="B79" s="4"/>
      <c r="C79" s="4"/>
      <c r="D79" s="4"/>
      <c r="E79" s="14" t="s">
        <v>234</v>
      </c>
      <c r="F79" s="14" t="s">
        <v>235</v>
      </c>
      <c r="G79" s="14" t="s">
        <v>236</v>
      </c>
      <c r="H79" s="14" t="s">
        <v>237</v>
      </c>
      <c r="I79" s="14" t="s">
        <v>238</v>
      </c>
      <c r="J79" s="15" t="str">
        <f>CONCATENATE("var. ",RIGHT(I79,2),"/",RIGHT(H79,2))</f>
        <v>var. 25/24</v>
      </c>
      <c r="K79" s="15" t="str">
        <f>CONCATENATE("dif. ",RIGHT(I79,2),"/",RIGHT(H79,2))</f>
        <v>dif. 25/24</v>
      </c>
      <c r="L79" s="15" t="str">
        <f>CONCATENATE("cuota ",I79)</f>
        <v>cuota acumulado a octubre 2025</v>
      </c>
    </row>
    <row r="80" spans="2:12" ht="15" customHeight="1" x14ac:dyDescent="0.25">
      <c r="B80" s="16" t="s">
        <v>44</v>
      </c>
      <c r="C80" s="17" t="s">
        <v>8</v>
      </c>
      <c r="D80" s="86" t="s">
        <v>45</v>
      </c>
      <c r="E80" s="87">
        <v>1678957</v>
      </c>
      <c r="F80" s="87">
        <v>3924823</v>
      </c>
      <c r="G80" s="87">
        <v>4320832</v>
      </c>
      <c r="H80" s="87">
        <v>4588197</v>
      </c>
      <c r="I80" s="87">
        <v>4565135</v>
      </c>
      <c r="J80" s="88">
        <f t="shared" ref="J80:J81" si="15">I80/H80-1</f>
        <v>-5.0263752842347742E-3</v>
      </c>
      <c r="K80" s="87">
        <f t="shared" ref="K80:K81" si="16">I80-H80</f>
        <v>-23062</v>
      </c>
      <c r="L80" s="88">
        <f t="shared" ref="L80:L81" si="17">I80/$I$80</f>
        <v>1</v>
      </c>
    </row>
    <row r="81" spans="2:13" ht="15" customHeight="1" x14ac:dyDescent="0.25">
      <c r="B81" s="22"/>
      <c r="C81" s="23"/>
      <c r="D81" s="18" t="s">
        <v>46</v>
      </c>
      <c r="E81" s="19">
        <v>644673</v>
      </c>
      <c r="F81" s="19">
        <v>1457395</v>
      </c>
      <c r="G81" s="19">
        <v>1572308</v>
      </c>
      <c r="H81" s="19">
        <v>1622538</v>
      </c>
      <c r="I81" s="19">
        <v>1550198</v>
      </c>
      <c r="J81" s="21">
        <f t="shared" si="15"/>
        <v>-4.4584471981549911E-2</v>
      </c>
      <c r="K81" s="19">
        <f t="shared" si="16"/>
        <v>-72340</v>
      </c>
      <c r="L81" s="21">
        <f t="shared" si="17"/>
        <v>0.33957330944210851</v>
      </c>
      <c r="M81" s="103"/>
    </row>
    <row r="82" spans="2:13" x14ac:dyDescent="0.25">
      <c r="B82" s="22"/>
      <c r="C82" s="23"/>
      <c r="D82" s="24" t="s">
        <v>47</v>
      </c>
      <c r="E82" s="25">
        <v>324977</v>
      </c>
      <c r="F82" s="25">
        <v>1027252</v>
      </c>
      <c r="G82" s="25">
        <v>1094360</v>
      </c>
      <c r="H82" s="25">
        <v>1158457</v>
      </c>
      <c r="I82" s="25">
        <v>1192132</v>
      </c>
      <c r="J82" s="81">
        <f>I82/H82-1</f>
        <v>2.906883898150725E-2</v>
      </c>
      <c r="K82" s="25">
        <f>I82-H82</f>
        <v>33675</v>
      </c>
      <c r="L82" s="81">
        <f>I82/$I$80</f>
        <v>0.26113838911664167</v>
      </c>
      <c r="M82" s="103"/>
    </row>
    <row r="83" spans="2:13" x14ac:dyDescent="0.25">
      <c r="B83" s="22"/>
      <c r="C83" s="23"/>
      <c r="D83" s="24" t="s">
        <v>48</v>
      </c>
      <c r="E83" s="25">
        <v>14685</v>
      </c>
      <c r="F83" s="25">
        <v>29058</v>
      </c>
      <c r="G83" s="25">
        <v>41308</v>
      </c>
      <c r="H83" s="25">
        <v>35995</v>
      </c>
      <c r="I83" s="25">
        <v>36061</v>
      </c>
      <c r="J83" s="81">
        <f t="shared" ref="J83:J136" si="18">I83/H83-1</f>
        <v>1.8335879983331083E-3</v>
      </c>
      <c r="K83" s="25">
        <f t="shared" ref="K83:K112" si="19">I83-H83</f>
        <v>66</v>
      </c>
      <c r="L83" s="81">
        <f t="shared" ref="L83:L90" si="20">I83/$I$80</f>
        <v>7.89921875256701E-3</v>
      </c>
      <c r="M83" s="103"/>
    </row>
    <row r="84" spans="2:13" x14ac:dyDescent="0.25">
      <c r="B84" s="22"/>
      <c r="C84" s="23"/>
      <c r="D84" s="24" t="s">
        <v>49</v>
      </c>
      <c r="E84" s="25">
        <v>47843</v>
      </c>
      <c r="F84" s="25">
        <v>132337</v>
      </c>
      <c r="G84" s="25">
        <v>154946</v>
      </c>
      <c r="H84" s="25">
        <v>200452</v>
      </c>
      <c r="I84" s="25">
        <v>158521</v>
      </c>
      <c r="J84" s="81">
        <f t="shared" si="18"/>
        <v>-0.20918224811925046</v>
      </c>
      <c r="K84" s="25">
        <f t="shared" si="19"/>
        <v>-41931</v>
      </c>
      <c r="L84" s="81">
        <f t="shared" si="20"/>
        <v>3.472427430952206E-2</v>
      </c>
      <c r="M84" s="103"/>
    </row>
    <row r="85" spans="2:13" x14ac:dyDescent="0.25">
      <c r="B85" s="22"/>
      <c r="C85" s="23"/>
      <c r="D85" s="24" t="s">
        <v>50</v>
      </c>
      <c r="E85" s="25">
        <v>262585</v>
      </c>
      <c r="F85" s="25">
        <v>587373</v>
      </c>
      <c r="G85" s="25">
        <v>669254</v>
      </c>
      <c r="H85" s="25">
        <v>773150</v>
      </c>
      <c r="I85" s="25">
        <v>795285</v>
      </c>
      <c r="J85" s="81">
        <f t="shared" si="18"/>
        <v>2.8629632024833374E-2</v>
      </c>
      <c r="K85" s="25">
        <f t="shared" si="19"/>
        <v>22135</v>
      </c>
      <c r="L85" s="81">
        <f t="shared" si="20"/>
        <v>0.17420842976166093</v>
      </c>
      <c r="M85" s="103"/>
    </row>
    <row r="86" spans="2:13" x14ac:dyDescent="0.25">
      <c r="B86" s="22"/>
      <c r="C86" s="23"/>
      <c r="D86" s="24" t="s">
        <v>51</v>
      </c>
      <c r="E86" s="25">
        <v>24453</v>
      </c>
      <c r="F86" s="25">
        <v>41481</v>
      </c>
      <c r="G86" s="25">
        <v>48608</v>
      </c>
      <c r="H86" s="25">
        <v>46696</v>
      </c>
      <c r="I86" s="25">
        <v>46403</v>
      </c>
      <c r="J86" s="81">
        <f t="shared" si="18"/>
        <v>-6.2746273770772909E-3</v>
      </c>
      <c r="K86" s="25">
        <f t="shared" si="19"/>
        <v>-293</v>
      </c>
      <c r="L86" s="81">
        <f t="shared" si="20"/>
        <v>1.0164650114399683E-2</v>
      </c>
      <c r="M86" s="103"/>
    </row>
    <row r="87" spans="2:13" x14ac:dyDescent="0.25">
      <c r="B87" s="22"/>
      <c r="C87" s="23"/>
      <c r="D87" s="24" t="s">
        <v>52</v>
      </c>
      <c r="E87" s="25">
        <v>83177</v>
      </c>
      <c r="F87" s="25">
        <v>166144</v>
      </c>
      <c r="G87" s="25">
        <v>213829</v>
      </c>
      <c r="H87" s="25">
        <v>202567</v>
      </c>
      <c r="I87" s="25">
        <v>212363</v>
      </c>
      <c r="J87" s="81">
        <f t="shared" si="18"/>
        <v>4.8359308278248747E-2</v>
      </c>
      <c r="K87" s="25">
        <f t="shared" si="19"/>
        <v>9796</v>
      </c>
      <c r="L87" s="81">
        <f t="shared" si="20"/>
        <v>4.6518449071057046E-2</v>
      </c>
      <c r="M87" s="103"/>
    </row>
    <row r="88" spans="2:13" x14ac:dyDescent="0.25">
      <c r="B88" s="22"/>
      <c r="C88" s="23"/>
      <c r="D88" s="24" t="s">
        <v>53</v>
      </c>
      <c r="E88" s="25">
        <v>123320</v>
      </c>
      <c r="F88" s="25">
        <v>179915</v>
      </c>
      <c r="G88" s="25">
        <v>194865</v>
      </c>
      <c r="H88" s="25">
        <v>201157</v>
      </c>
      <c r="I88" s="25">
        <v>227882</v>
      </c>
      <c r="J88" s="81">
        <f t="shared" si="18"/>
        <v>0.13285642557803112</v>
      </c>
      <c r="K88" s="25">
        <f t="shared" si="19"/>
        <v>26725</v>
      </c>
      <c r="L88" s="81">
        <f t="shared" si="20"/>
        <v>4.9917910423240494E-2</v>
      </c>
      <c r="M88" s="103"/>
    </row>
    <row r="89" spans="2:13" ht="18" customHeight="1" x14ac:dyDescent="0.25">
      <c r="B89" s="22"/>
      <c r="C89" s="23"/>
      <c r="D89" s="24" t="s">
        <v>54</v>
      </c>
      <c r="E89" s="25">
        <v>100724</v>
      </c>
      <c r="F89" s="25">
        <v>212753</v>
      </c>
      <c r="G89" s="25">
        <v>230245</v>
      </c>
      <c r="H89" s="25">
        <v>241157</v>
      </c>
      <c r="I89" s="25">
        <v>240215</v>
      </c>
      <c r="J89" s="27">
        <f t="shared" si="18"/>
        <v>-3.9061690102298874E-3</v>
      </c>
      <c r="K89" s="25">
        <f t="shared" si="19"/>
        <v>-942</v>
      </c>
      <c r="L89" s="27">
        <f t="shared" si="20"/>
        <v>5.2619473465735409E-2</v>
      </c>
      <c r="M89" s="103"/>
    </row>
    <row r="90" spans="2:13" x14ac:dyDescent="0.25">
      <c r="B90" s="22"/>
      <c r="C90" s="28"/>
      <c r="D90" s="29" t="s">
        <v>55</v>
      </c>
      <c r="E90" s="90">
        <v>52520</v>
      </c>
      <c r="F90" s="90">
        <v>91115</v>
      </c>
      <c r="G90" s="90">
        <v>101109</v>
      </c>
      <c r="H90" s="90">
        <v>106028</v>
      </c>
      <c r="I90" s="90">
        <v>106075</v>
      </c>
      <c r="J90" s="58">
        <f t="shared" si="18"/>
        <v>4.4327913381381201E-4</v>
      </c>
      <c r="K90" s="90">
        <f t="shared" si="19"/>
        <v>47</v>
      </c>
      <c r="L90" s="58">
        <f t="shared" si="20"/>
        <v>2.3235895543067181E-2</v>
      </c>
      <c r="M90" s="103"/>
    </row>
    <row r="91" spans="2:13" x14ac:dyDescent="0.25">
      <c r="B91" s="22"/>
      <c r="C91" s="32" t="s">
        <v>18</v>
      </c>
      <c r="D91" s="86" t="s">
        <v>45</v>
      </c>
      <c r="E91" s="87">
        <v>1889322</v>
      </c>
      <c r="F91" s="87">
        <v>4616324</v>
      </c>
      <c r="G91" s="87">
        <v>5103072</v>
      </c>
      <c r="H91" s="87">
        <v>5417451</v>
      </c>
      <c r="I91" s="87">
        <v>5353030</v>
      </c>
      <c r="J91" s="88">
        <f t="shared" si="18"/>
        <v>-1.1891385819640998E-2</v>
      </c>
      <c r="K91" s="87">
        <f t="shared" si="19"/>
        <v>-64421</v>
      </c>
      <c r="L91" s="88">
        <f t="shared" ref="L91:L92" si="21">I91/$I$91</f>
        <v>1</v>
      </c>
    </row>
    <row r="92" spans="2:13" x14ac:dyDescent="0.25">
      <c r="B92" s="22"/>
      <c r="C92" s="36"/>
      <c r="D92" s="33" t="s">
        <v>46</v>
      </c>
      <c r="E92" s="34">
        <v>737549</v>
      </c>
      <c r="F92" s="34">
        <v>1744787</v>
      </c>
      <c r="G92" s="34">
        <v>1889434</v>
      </c>
      <c r="H92" s="34">
        <v>1951443</v>
      </c>
      <c r="I92" s="34">
        <v>1852490</v>
      </c>
      <c r="J92" s="104">
        <f t="shared" si="18"/>
        <v>-5.0707604577740706E-2</v>
      </c>
      <c r="K92" s="34">
        <f t="shared" si="19"/>
        <v>-98953</v>
      </c>
      <c r="L92" s="47">
        <f t="shared" si="21"/>
        <v>0.34606381806192005</v>
      </c>
    </row>
    <row r="93" spans="2:13" x14ac:dyDescent="0.25">
      <c r="B93" s="22"/>
      <c r="C93" s="36"/>
      <c r="D93" s="4" t="s">
        <v>47</v>
      </c>
      <c r="E93" s="37">
        <v>371706</v>
      </c>
      <c r="F93" s="37">
        <v>1225539</v>
      </c>
      <c r="G93" s="37">
        <v>1319858</v>
      </c>
      <c r="H93" s="37">
        <v>1391730</v>
      </c>
      <c r="I93" s="37">
        <v>1422731</v>
      </c>
      <c r="J93" s="105">
        <f t="shared" si="18"/>
        <v>2.2275153945089832E-2</v>
      </c>
      <c r="K93" s="37">
        <f t="shared" si="19"/>
        <v>31001</v>
      </c>
      <c r="L93" s="98">
        <f>I93/$I$91</f>
        <v>0.26578050188397973</v>
      </c>
    </row>
    <row r="94" spans="2:13" x14ac:dyDescent="0.25">
      <c r="B94" s="22"/>
      <c r="C94" s="36"/>
      <c r="D94" s="4" t="s">
        <v>48</v>
      </c>
      <c r="E94" s="37">
        <v>16241</v>
      </c>
      <c r="F94" s="37">
        <v>32334</v>
      </c>
      <c r="G94" s="37">
        <v>44536</v>
      </c>
      <c r="H94" s="37">
        <v>39815</v>
      </c>
      <c r="I94" s="37">
        <v>40193</v>
      </c>
      <c r="J94" s="105">
        <f t="shared" si="18"/>
        <v>9.4939093306543043E-3</v>
      </c>
      <c r="K94" s="37">
        <f t="shared" si="19"/>
        <v>378</v>
      </c>
      <c r="L94" s="98">
        <f t="shared" ref="L94:L101" si="22">I94/$I$91</f>
        <v>7.5084578266888099E-3</v>
      </c>
    </row>
    <row r="95" spans="2:13" x14ac:dyDescent="0.25">
      <c r="B95" s="22"/>
      <c r="C95" s="36"/>
      <c r="D95" s="4" t="s">
        <v>49</v>
      </c>
      <c r="E95" s="37">
        <v>55072</v>
      </c>
      <c r="F95" s="37">
        <v>154928</v>
      </c>
      <c r="G95" s="37">
        <v>178758</v>
      </c>
      <c r="H95" s="37">
        <v>231699</v>
      </c>
      <c r="I95" s="37">
        <v>182828</v>
      </c>
      <c r="J95" s="105">
        <f t="shared" si="18"/>
        <v>-0.21092451844850435</v>
      </c>
      <c r="K95" s="37">
        <f t="shared" si="19"/>
        <v>-48871</v>
      </c>
      <c r="L95" s="98">
        <f t="shared" si="22"/>
        <v>3.415411458557116E-2</v>
      </c>
    </row>
    <row r="96" spans="2:13" x14ac:dyDescent="0.25">
      <c r="B96" s="22"/>
      <c r="C96" s="36"/>
      <c r="D96" s="4" t="s">
        <v>50</v>
      </c>
      <c r="E96" s="37">
        <v>291531</v>
      </c>
      <c r="F96" s="37">
        <v>677880</v>
      </c>
      <c r="G96" s="37">
        <v>780881</v>
      </c>
      <c r="H96" s="37">
        <v>898868</v>
      </c>
      <c r="I96" s="37">
        <v>917708</v>
      </c>
      <c r="J96" s="105">
        <f t="shared" si="18"/>
        <v>2.0959695973157277E-2</v>
      </c>
      <c r="K96" s="37">
        <f t="shared" si="19"/>
        <v>18840</v>
      </c>
      <c r="L96" s="98">
        <f t="shared" si="22"/>
        <v>0.17143711131826275</v>
      </c>
    </row>
    <row r="97" spans="2:12" x14ac:dyDescent="0.25">
      <c r="B97" s="22"/>
      <c r="C97" s="36"/>
      <c r="D97" s="4" t="s">
        <v>51</v>
      </c>
      <c r="E97" s="37">
        <v>25369</v>
      </c>
      <c r="F97" s="37">
        <v>43371</v>
      </c>
      <c r="G97" s="37">
        <v>50896</v>
      </c>
      <c r="H97" s="37">
        <v>49021</v>
      </c>
      <c r="I97" s="37">
        <v>48804</v>
      </c>
      <c r="J97" s="105">
        <f t="shared" si="18"/>
        <v>-4.4266742824503602E-3</v>
      </c>
      <c r="K97" s="37">
        <f t="shared" si="19"/>
        <v>-217</v>
      </c>
      <c r="L97" s="98">
        <f t="shared" si="22"/>
        <v>9.117079485823916E-3</v>
      </c>
    </row>
    <row r="98" spans="2:12" x14ac:dyDescent="0.25">
      <c r="B98" s="22"/>
      <c r="C98" s="36"/>
      <c r="D98" s="4" t="s">
        <v>52</v>
      </c>
      <c r="E98" s="37">
        <v>96624</v>
      </c>
      <c r="F98" s="37">
        <v>194202</v>
      </c>
      <c r="G98" s="37">
        <v>243100</v>
      </c>
      <c r="H98" s="37">
        <v>236128</v>
      </c>
      <c r="I98" s="37">
        <v>244053</v>
      </c>
      <c r="J98" s="105">
        <f t="shared" si="18"/>
        <v>3.3562305190405262E-2</v>
      </c>
      <c r="K98" s="37">
        <f t="shared" si="19"/>
        <v>7925</v>
      </c>
      <c r="L98" s="98">
        <f t="shared" si="22"/>
        <v>4.55915621619905E-2</v>
      </c>
    </row>
    <row r="99" spans="2:12" x14ac:dyDescent="0.25">
      <c r="B99" s="22"/>
      <c r="C99" s="36"/>
      <c r="D99" s="4" t="s">
        <v>53</v>
      </c>
      <c r="E99" s="37">
        <v>127034</v>
      </c>
      <c r="F99" s="37">
        <v>187790</v>
      </c>
      <c r="G99" s="37">
        <v>203344</v>
      </c>
      <c r="H99" s="37">
        <v>209772</v>
      </c>
      <c r="I99" s="37">
        <v>237218</v>
      </c>
      <c r="J99" s="105">
        <f t="shared" si="18"/>
        <v>0.13083729001010624</v>
      </c>
      <c r="K99" s="37">
        <f t="shared" si="19"/>
        <v>27446</v>
      </c>
      <c r="L99" s="98">
        <f t="shared" si="22"/>
        <v>4.4314715217362875E-2</v>
      </c>
    </row>
    <row r="100" spans="2:12" x14ac:dyDescent="0.25">
      <c r="B100" s="22"/>
      <c r="C100" s="36"/>
      <c r="D100" s="4" t="s">
        <v>54</v>
      </c>
      <c r="E100" s="37">
        <v>111634</v>
      </c>
      <c r="F100" s="37">
        <v>252020</v>
      </c>
      <c r="G100" s="37">
        <v>274006</v>
      </c>
      <c r="H100" s="37">
        <v>287742</v>
      </c>
      <c r="I100" s="37">
        <v>285703</v>
      </c>
      <c r="J100" s="39">
        <f t="shared" si="18"/>
        <v>-7.0862091734956723E-3</v>
      </c>
      <c r="K100" s="37">
        <f t="shared" si="19"/>
        <v>-2039</v>
      </c>
      <c r="L100" s="51">
        <f t="shared" si="22"/>
        <v>5.3372202285434607E-2</v>
      </c>
    </row>
    <row r="101" spans="2:12" x14ac:dyDescent="0.25">
      <c r="B101" s="22"/>
      <c r="C101" s="40"/>
      <c r="D101" s="41" t="s">
        <v>55</v>
      </c>
      <c r="E101" s="92">
        <v>56562</v>
      </c>
      <c r="F101" s="92">
        <v>103473</v>
      </c>
      <c r="G101" s="92">
        <v>118259</v>
      </c>
      <c r="H101" s="92">
        <v>121233</v>
      </c>
      <c r="I101" s="92">
        <v>121302</v>
      </c>
      <c r="J101" s="93">
        <f t="shared" si="18"/>
        <v>5.6915196357421038E-4</v>
      </c>
      <c r="K101" s="92">
        <f t="shared" si="19"/>
        <v>69</v>
      </c>
      <c r="L101" s="73">
        <f t="shared" si="22"/>
        <v>2.2660437172965592E-2</v>
      </c>
    </row>
    <row r="102" spans="2:12" x14ac:dyDescent="0.25">
      <c r="B102" s="22"/>
      <c r="C102" s="17" t="s">
        <v>21</v>
      </c>
      <c r="D102" s="86" t="s">
        <v>45</v>
      </c>
      <c r="E102" s="87">
        <v>9473050</v>
      </c>
      <c r="F102" s="87">
        <v>25825446</v>
      </c>
      <c r="G102" s="87">
        <v>28612657</v>
      </c>
      <c r="H102" s="87">
        <v>30210542</v>
      </c>
      <c r="I102" s="87">
        <v>29300863</v>
      </c>
      <c r="J102" s="88">
        <f t="shared" si="18"/>
        <v>-3.0111310151270998E-2</v>
      </c>
      <c r="K102" s="87">
        <f t="shared" si="19"/>
        <v>-909679</v>
      </c>
      <c r="L102" s="88">
        <f t="shared" ref="L102:L103" si="23">I102/$I$102</f>
        <v>1</v>
      </c>
    </row>
    <row r="103" spans="2:12" x14ac:dyDescent="0.25">
      <c r="B103" s="22"/>
      <c r="C103" s="23"/>
      <c r="D103" s="18" t="s">
        <v>46</v>
      </c>
      <c r="E103" s="19">
        <v>4006726</v>
      </c>
      <c r="F103" s="19">
        <v>10458907</v>
      </c>
      <c r="G103" s="19">
        <v>11285244</v>
      </c>
      <c r="H103" s="19">
        <v>11574731</v>
      </c>
      <c r="I103" s="19">
        <v>10948784</v>
      </c>
      <c r="J103" s="21">
        <f t="shared" si="18"/>
        <v>-5.40787513765979E-2</v>
      </c>
      <c r="K103" s="19">
        <f t="shared" si="19"/>
        <v>-625947</v>
      </c>
      <c r="L103" s="21">
        <f t="shared" si="23"/>
        <v>0.37366762883400395</v>
      </c>
    </row>
    <row r="104" spans="2:12" x14ac:dyDescent="0.25">
      <c r="B104" s="22"/>
      <c r="C104" s="23"/>
      <c r="D104" s="24" t="s">
        <v>47</v>
      </c>
      <c r="E104" s="25">
        <v>2126689</v>
      </c>
      <c r="F104" s="25">
        <v>7289014</v>
      </c>
      <c r="G104" s="25">
        <v>8059754</v>
      </c>
      <c r="H104" s="25">
        <v>8362569</v>
      </c>
      <c r="I104" s="25">
        <v>8376469</v>
      </c>
      <c r="J104" s="81">
        <f t="shared" si="18"/>
        <v>1.6621686469791008E-3</v>
      </c>
      <c r="K104" s="25">
        <f t="shared" si="19"/>
        <v>13900</v>
      </c>
      <c r="L104" s="81">
        <f>I104/$I$102</f>
        <v>0.28587789376715628</v>
      </c>
    </row>
    <row r="105" spans="2:12" x14ac:dyDescent="0.25">
      <c r="B105" s="22"/>
      <c r="C105" s="23"/>
      <c r="D105" s="24" t="s">
        <v>48</v>
      </c>
      <c r="E105" s="25">
        <v>67472</v>
      </c>
      <c r="F105" s="25">
        <v>133756</v>
      </c>
      <c r="G105" s="25">
        <v>142013</v>
      </c>
      <c r="H105" s="25">
        <v>160183</v>
      </c>
      <c r="I105" s="25">
        <v>161637</v>
      </c>
      <c r="J105" s="81">
        <f t="shared" si="18"/>
        <v>9.0771180462345669E-3</v>
      </c>
      <c r="K105" s="25">
        <f t="shared" si="19"/>
        <v>1454</v>
      </c>
      <c r="L105" s="81">
        <f t="shared" ref="L105:L112" si="24">I105/$I$102</f>
        <v>5.5164586790498286E-3</v>
      </c>
    </row>
    <row r="106" spans="2:12" x14ac:dyDescent="0.25">
      <c r="B106" s="22"/>
      <c r="C106" s="23"/>
      <c r="D106" s="24" t="s">
        <v>49</v>
      </c>
      <c r="E106" s="25">
        <v>281006</v>
      </c>
      <c r="F106" s="25">
        <v>824915</v>
      </c>
      <c r="G106" s="25">
        <v>892817</v>
      </c>
      <c r="H106" s="25">
        <v>1185602</v>
      </c>
      <c r="I106" s="25">
        <v>931355</v>
      </c>
      <c r="J106" s="81">
        <f t="shared" si="18"/>
        <v>-0.21444548845227995</v>
      </c>
      <c r="K106" s="25">
        <f t="shared" si="19"/>
        <v>-254247</v>
      </c>
      <c r="L106" s="81">
        <f t="shared" si="24"/>
        <v>3.1785923848045024E-2</v>
      </c>
    </row>
    <row r="107" spans="2:12" x14ac:dyDescent="0.25">
      <c r="B107" s="22"/>
      <c r="C107" s="23"/>
      <c r="D107" s="24" t="s">
        <v>50</v>
      </c>
      <c r="E107" s="25">
        <v>1380163</v>
      </c>
      <c r="F107" s="25">
        <v>3540445</v>
      </c>
      <c r="G107" s="25">
        <v>4226384</v>
      </c>
      <c r="H107" s="25">
        <v>4800011</v>
      </c>
      <c r="I107" s="25">
        <v>4746151</v>
      </c>
      <c r="J107" s="81">
        <f t="shared" si="18"/>
        <v>-1.1220807618982587E-2</v>
      </c>
      <c r="K107" s="25">
        <f t="shared" si="19"/>
        <v>-53860</v>
      </c>
      <c r="L107" s="81">
        <f t="shared" si="24"/>
        <v>0.16197990482396371</v>
      </c>
    </row>
    <row r="108" spans="2:12" x14ac:dyDescent="0.25">
      <c r="B108" s="22"/>
      <c r="C108" s="23"/>
      <c r="D108" s="24" t="s">
        <v>51</v>
      </c>
      <c r="E108" s="25">
        <v>60016</v>
      </c>
      <c r="F108" s="25">
        <v>112590</v>
      </c>
      <c r="G108" s="25">
        <v>123254</v>
      </c>
      <c r="H108" s="25">
        <v>124009</v>
      </c>
      <c r="I108" s="25">
        <v>125599</v>
      </c>
      <c r="J108" s="81">
        <f t="shared" si="18"/>
        <v>1.2821650041529242E-2</v>
      </c>
      <c r="K108" s="25">
        <f t="shared" si="19"/>
        <v>1590</v>
      </c>
      <c r="L108" s="81">
        <f t="shared" si="24"/>
        <v>4.2865290349980477E-3</v>
      </c>
    </row>
    <row r="109" spans="2:12" x14ac:dyDescent="0.25">
      <c r="B109" s="22"/>
      <c r="C109" s="23"/>
      <c r="D109" s="24" t="s">
        <v>52</v>
      </c>
      <c r="E109" s="25">
        <v>560773</v>
      </c>
      <c r="F109" s="25">
        <v>1093304</v>
      </c>
      <c r="G109" s="25">
        <v>1210630</v>
      </c>
      <c r="H109" s="25">
        <v>1245782</v>
      </c>
      <c r="I109" s="25">
        <v>1208728</v>
      </c>
      <c r="J109" s="81">
        <f t="shared" si="18"/>
        <v>-2.9743566691443624E-2</v>
      </c>
      <c r="K109" s="25">
        <f t="shared" si="19"/>
        <v>-37054</v>
      </c>
      <c r="L109" s="81">
        <f t="shared" si="24"/>
        <v>4.1252300316205706E-2</v>
      </c>
    </row>
    <row r="110" spans="2:12" x14ac:dyDescent="0.25">
      <c r="B110" s="22"/>
      <c r="C110" s="23"/>
      <c r="D110" s="24" t="s">
        <v>53</v>
      </c>
      <c r="E110" s="25">
        <v>263278</v>
      </c>
      <c r="F110" s="25">
        <v>433395</v>
      </c>
      <c r="G110" s="25">
        <v>467345</v>
      </c>
      <c r="H110" s="25">
        <v>475889</v>
      </c>
      <c r="I110" s="25">
        <v>503913</v>
      </c>
      <c r="J110" s="81">
        <f t="shared" si="18"/>
        <v>5.8887681791342184E-2</v>
      </c>
      <c r="K110" s="25">
        <f t="shared" si="19"/>
        <v>28024</v>
      </c>
      <c r="L110" s="81">
        <f t="shared" si="24"/>
        <v>1.7197889359094987E-2</v>
      </c>
    </row>
    <row r="111" spans="2:12" x14ac:dyDescent="0.25">
      <c r="B111" s="22"/>
      <c r="C111" s="23"/>
      <c r="D111" s="24" t="s">
        <v>54</v>
      </c>
      <c r="E111" s="25">
        <v>514282</v>
      </c>
      <c r="F111" s="25">
        <v>1443953</v>
      </c>
      <c r="G111" s="25">
        <v>1563825</v>
      </c>
      <c r="H111" s="25">
        <v>1665600</v>
      </c>
      <c r="I111" s="25">
        <v>1686838</v>
      </c>
      <c r="J111" s="27">
        <f t="shared" si="18"/>
        <v>1.2750960614793527E-2</v>
      </c>
      <c r="K111" s="25">
        <f t="shared" si="19"/>
        <v>21238</v>
      </c>
      <c r="L111" s="27">
        <f t="shared" si="24"/>
        <v>5.7569567148926637E-2</v>
      </c>
    </row>
    <row r="112" spans="2:12" x14ac:dyDescent="0.25">
      <c r="B112" s="22"/>
      <c r="C112" s="28"/>
      <c r="D112" s="29" t="s">
        <v>55</v>
      </c>
      <c r="E112" s="90">
        <v>212645</v>
      </c>
      <c r="F112" s="90">
        <v>495167</v>
      </c>
      <c r="G112" s="90">
        <v>641391</v>
      </c>
      <c r="H112" s="90">
        <v>616166</v>
      </c>
      <c r="I112" s="90">
        <v>611389</v>
      </c>
      <c r="J112" s="58">
        <f t="shared" si="18"/>
        <v>-7.7527809064440456E-3</v>
      </c>
      <c r="K112" s="90">
        <f t="shared" si="19"/>
        <v>-4777</v>
      </c>
      <c r="L112" s="58">
        <f t="shared" si="24"/>
        <v>2.0865904188555811E-2</v>
      </c>
    </row>
    <row r="113" spans="2:12" x14ac:dyDescent="0.25">
      <c r="B113" s="22"/>
      <c r="C113" s="32" t="s">
        <v>22</v>
      </c>
      <c r="D113" s="86" t="s">
        <v>45</v>
      </c>
      <c r="E113" s="95">
        <f t="shared" ref="E113:I114" si="25">E102/E80</f>
        <v>5.6422231182811711</v>
      </c>
      <c r="F113" s="95">
        <f t="shared" si="25"/>
        <v>6.5800281949020381</v>
      </c>
      <c r="G113" s="95">
        <f t="shared" si="25"/>
        <v>6.62202487854191</v>
      </c>
      <c r="H113" s="95">
        <f t="shared" si="25"/>
        <v>6.5844038518834305</v>
      </c>
      <c r="I113" s="95">
        <f t="shared" si="25"/>
        <v>6.4184001130306116</v>
      </c>
      <c r="J113" s="88">
        <f t="shared" si="18"/>
        <v>-2.5211658122296754E-2</v>
      </c>
      <c r="K113" s="95">
        <f t="shared" ref="K113:K114" si="26">(I113-H113)</f>
        <v>-0.16600373885281883</v>
      </c>
      <c r="L113" s="88"/>
    </row>
    <row r="114" spans="2:12" x14ac:dyDescent="0.25">
      <c r="B114" s="22"/>
      <c r="C114" s="36"/>
      <c r="D114" s="33" t="s">
        <v>46</v>
      </c>
      <c r="E114" s="46">
        <f t="shared" si="25"/>
        <v>6.2151292205505735</v>
      </c>
      <c r="F114" s="46">
        <f t="shared" si="25"/>
        <v>7.1764394690526592</v>
      </c>
      <c r="G114" s="46">
        <f t="shared" si="25"/>
        <v>7.177502117905652</v>
      </c>
      <c r="H114" s="46">
        <f t="shared" si="25"/>
        <v>7.133719518433467</v>
      </c>
      <c r="I114" s="46">
        <f t="shared" si="25"/>
        <v>7.0628293934065196</v>
      </c>
      <c r="J114" s="104">
        <f t="shared" si="18"/>
        <v>-9.9373300062846059E-3</v>
      </c>
      <c r="K114" s="46">
        <f t="shared" si="26"/>
        <v>-7.0890125026947359E-2</v>
      </c>
      <c r="L114" s="47"/>
    </row>
    <row r="115" spans="2:12" x14ac:dyDescent="0.25">
      <c r="B115" s="22"/>
      <c r="C115" s="36"/>
      <c r="D115" s="4" t="s">
        <v>47</v>
      </c>
      <c r="E115" s="50">
        <f>E104/E82</f>
        <v>6.5441215839890203</v>
      </c>
      <c r="F115" s="50">
        <f>F104/F82</f>
        <v>7.0956435227188654</v>
      </c>
      <c r="G115" s="50">
        <f>G104/G82</f>
        <v>7.3648104828392853</v>
      </c>
      <c r="H115" s="50">
        <f>H104/H82</f>
        <v>7.2187133402448254</v>
      </c>
      <c r="I115" s="50">
        <f>I104/I82</f>
        <v>7.0264609959299813</v>
      </c>
      <c r="J115" s="105">
        <f t="shared" si="18"/>
        <v>-2.6632494636270376E-2</v>
      </c>
      <c r="K115" s="50">
        <f>(I115-H115)</f>
        <v>-0.19225234431484406</v>
      </c>
      <c r="L115" s="98"/>
    </row>
    <row r="116" spans="2:12" x14ac:dyDescent="0.25">
      <c r="B116" s="22"/>
      <c r="C116" s="36"/>
      <c r="D116" s="4" t="s">
        <v>48</v>
      </c>
      <c r="E116" s="50">
        <f t="shared" ref="E116:I123" si="27">E105/E83</f>
        <v>4.5946203609124954</v>
      </c>
      <c r="F116" s="50">
        <f t="shared" si="27"/>
        <v>4.6030697226237178</v>
      </c>
      <c r="G116" s="50">
        <f t="shared" si="27"/>
        <v>3.4379054904618962</v>
      </c>
      <c r="H116" s="50">
        <f t="shared" si="27"/>
        <v>4.4501458535907767</v>
      </c>
      <c r="I116" s="50">
        <f t="shared" si="27"/>
        <v>4.4823216216965696</v>
      </c>
      <c r="J116" s="105">
        <f t="shared" si="18"/>
        <v>7.2302727066417827E-3</v>
      </c>
      <c r="K116" s="50">
        <f t="shared" ref="K116:K123" si="28">(I116-H116)</f>
        <v>3.2175768105792812E-2</v>
      </c>
      <c r="L116" s="98"/>
    </row>
    <row r="117" spans="2:12" x14ac:dyDescent="0.25">
      <c r="B117" s="22"/>
      <c r="C117" s="36"/>
      <c r="D117" s="4" t="s">
        <v>49</v>
      </c>
      <c r="E117" s="50">
        <f t="shared" si="27"/>
        <v>5.8735029157870535</v>
      </c>
      <c r="F117" s="50">
        <f t="shared" si="27"/>
        <v>6.2334418945570782</v>
      </c>
      <c r="G117" s="50">
        <f t="shared" si="27"/>
        <v>5.7621171246756937</v>
      </c>
      <c r="H117" s="50">
        <f t="shared" si="27"/>
        <v>5.9146429070301121</v>
      </c>
      <c r="I117" s="50">
        <f t="shared" si="27"/>
        <v>5.8752783542874445</v>
      </c>
      <c r="J117" s="105">
        <f t="shared" si="18"/>
        <v>-6.6554402964681403E-3</v>
      </c>
      <c r="K117" s="50">
        <f t="shared" si="28"/>
        <v>-3.9364552742667591E-2</v>
      </c>
      <c r="L117" s="98"/>
    </row>
    <row r="118" spans="2:12" x14ac:dyDescent="0.25">
      <c r="B118" s="22"/>
      <c r="C118" s="36"/>
      <c r="D118" s="4" t="s">
        <v>50</v>
      </c>
      <c r="E118" s="50">
        <f t="shared" si="27"/>
        <v>5.2560618466401356</v>
      </c>
      <c r="F118" s="50">
        <f t="shared" si="27"/>
        <v>6.0275923476223801</v>
      </c>
      <c r="G118" s="50">
        <f t="shared" si="27"/>
        <v>6.3150672241032551</v>
      </c>
      <c r="H118" s="50">
        <f t="shared" si="27"/>
        <v>6.2083825907003813</v>
      </c>
      <c r="I118" s="50">
        <f t="shared" si="27"/>
        <v>5.967861835694122</v>
      </c>
      <c r="J118" s="105">
        <f t="shared" si="18"/>
        <v>-3.8741290745602286E-2</v>
      </c>
      <c r="K118" s="50">
        <f t="shared" si="28"/>
        <v>-0.24052075500625936</v>
      </c>
      <c r="L118" s="98"/>
    </row>
    <row r="119" spans="2:12" x14ac:dyDescent="0.25">
      <c r="B119" s="22"/>
      <c r="C119" s="36"/>
      <c r="D119" s="4" t="s">
        <v>51</v>
      </c>
      <c r="E119" s="50">
        <f t="shared" si="27"/>
        <v>2.4543409806567702</v>
      </c>
      <c r="F119" s="50">
        <f t="shared" si="27"/>
        <v>2.7142547190279886</v>
      </c>
      <c r="G119" s="50">
        <f t="shared" si="27"/>
        <v>2.5356731402238313</v>
      </c>
      <c r="H119" s="50">
        <f t="shared" si="27"/>
        <v>2.6556664382388213</v>
      </c>
      <c r="I119" s="50">
        <f t="shared" si="27"/>
        <v>2.7066999978449671</v>
      </c>
      <c r="J119" s="105">
        <f t="shared" si="18"/>
        <v>1.9216856029550922E-2</v>
      </c>
      <c r="K119" s="50">
        <f t="shared" si="28"/>
        <v>5.1033559606145751E-2</v>
      </c>
      <c r="L119" s="98"/>
    </row>
    <row r="120" spans="2:12" x14ac:dyDescent="0.25">
      <c r="B120" s="22"/>
      <c r="C120" s="36"/>
      <c r="D120" s="4" t="s">
        <v>52</v>
      </c>
      <c r="E120" s="50">
        <f t="shared" si="27"/>
        <v>6.7419238491409885</v>
      </c>
      <c r="F120" s="50">
        <f t="shared" si="27"/>
        <v>6.5804603235747301</v>
      </c>
      <c r="G120" s="50">
        <f t="shared" si="27"/>
        <v>5.6616735802907927</v>
      </c>
      <c r="H120" s="50">
        <f t="shared" si="27"/>
        <v>6.149975069976847</v>
      </c>
      <c r="I120" s="50">
        <f t="shared" si="27"/>
        <v>5.6918013024867795</v>
      </c>
      <c r="J120" s="105">
        <f t="shared" si="18"/>
        <v>-7.4500101590134093E-2</v>
      </c>
      <c r="K120" s="50">
        <f t="shared" si="28"/>
        <v>-0.45817376749006744</v>
      </c>
      <c r="L120" s="98"/>
    </row>
    <row r="121" spans="2:12" x14ac:dyDescent="0.25">
      <c r="B121" s="22"/>
      <c r="C121" s="36"/>
      <c r="D121" s="4" t="s">
        <v>53</v>
      </c>
      <c r="E121" s="50">
        <f t="shared" si="27"/>
        <v>2.1349172883554979</v>
      </c>
      <c r="F121" s="50">
        <f t="shared" si="27"/>
        <v>2.4088875302226049</v>
      </c>
      <c r="G121" s="50">
        <f t="shared" si="27"/>
        <v>2.3983013881405078</v>
      </c>
      <c r="H121" s="50">
        <f t="shared" si="27"/>
        <v>2.3657590837007909</v>
      </c>
      <c r="I121" s="50">
        <f t="shared" si="27"/>
        <v>2.2112891759770408</v>
      </c>
      <c r="J121" s="105">
        <f t="shared" si="18"/>
        <v>-6.5294014419300273E-2</v>
      </c>
      <c r="K121" s="50">
        <f t="shared" si="28"/>
        <v>-0.15446990772375013</v>
      </c>
      <c r="L121" s="98"/>
    </row>
    <row r="122" spans="2:12" x14ac:dyDescent="0.25">
      <c r="B122" s="22"/>
      <c r="C122" s="36"/>
      <c r="D122" s="4" t="s">
        <v>54</v>
      </c>
      <c r="E122" s="50">
        <f t="shared" si="27"/>
        <v>5.1058536197927005</v>
      </c>
      <c r="F122" s="50">
        <f t="shared" si="27"/>
        <v>6.7869924278388556</v>
      </c>
      <c r="G122" s="50">
        <f t="shared" si="27"/>
        <v>6.7920041694716495</v>
      </c>
      <c r="H122" s="50">
        <f t="shared" si="27"/>
        <v>6.9067039314637348</v>
      </c>
      <c r="I122" s="50">
        <f t="shared" si="27"/>
        <v>7.0222009449867828</v>
      </c>
      <c r="J122" s="39">
        <f t="shared" si="18"/>
        <v>1.6722450342325779E-2</v>
      </c>
      <c r="K122" s="50">
        <f t="shared" si="28"/>
        <v>0.11549701352304798</v>
      </c>
      <c r="L122" s="51"/>
    </row>
    <row r="123" spans="2:12" x14ac:dyDescent="0.25">
      <c r="B123" s="22"/>
      <c r="C123" s="40"/>
      <c r="D123" s="41" t="s">
        <v>55</v>
      </c>
      <c r="E123" s="101">
        <f t="shared" si="27"/>
        <v>4.0488385376999236</v>
      </c>
      <c r="F123" s="101">
        <f t="shared" si="27"/>
        <v>5.434527794545355</v>
      </c>
      <c r="G123" s="101">
        <f t="shared" si="27"/>
        <v>6.343559920481856</v>
      </c>
      <c r="H123" s="101">
        <f t="shared" si="27"/>
        <v>5.811351718414004</v>
      </c>
      <c r="I123" s="101">
        <f t="shared" si="27"/>
        <v>5.7637426349281169</v>
      </c>
      <c r="J123" s="93">
        <f t="shared" si="18"/>
        <v>-8.192428507645122E-3</v>
      </c>
      <c r="K123" s="101">
        <f t="shared" si="28"/>
        <v>-4.7609083485887105E-2</v>
      </c>
      <c r="L123" s="73"/>
    </row>
    <row r="124" spans="2:12" x14ac:dyDescent="0.25">
      <c r="B124" s="22"/>
      <c r="C124" s="53" t="s">
        <v>36</v>
      </c>
      <c r="D124" s="86" t="s">
        <v>45</v>
      </c>
      <c r="E124" s="88">
        <v>0.41195685299849777</v>
      </c>
      <c r="F124" s="88">
        <v>0.68946690565281554</v>
      </c>
      <c r="G124" s="88">
        <v>0.75124292772170309</v>
      </c>
      <c r="H124" s="88">
        <v>0.77852532219636894</v>
      </c>
      <c r="I124" s="88">
        <v>0.76899684481751673</v>
      </c>
      <c r="J124" s="88">
        <f t="shared" si="18"/>
        <v>-1.2239136104103321E-2</v>
      </c>
      <c r="K124" s="95">
        <f t="shared" ref="K124:K125" si="29">(I124-H124)*100</f>
        <v>-0.9528477378852207</v>
      </c>
      <c r="L124" s="88"/>
    </row>
    <row r="125" spans="2:12" x14ac:dyDescent="0.25">
      <c r="B125" s="22"/>
      <c r="C125" s="55"/>
      <c r="D125" s="18" t="s">
        <v>46</v>
      </c>
      <c r="E125" s="21">
        <v>0.48271672806756616</v>
      </c>
      <c r="F125" s="21">
        <v>0.78140134695992647</v>
      </c>
      <c r="G125" s="21">
        <v>0.81116098886616661</v>
      </c>
      <c r="H125" s="21">
        <v>0.8174734616875361</v>
      </c>
      <c r="I125" s="21">
        <v>0.80303358908820921</v>
      </c>
      <c r="J125" s="21">
        <f t="shared" si="18"/>
        <v>-1.7664026144063705E-2</v>
      </c>
      <c r="K125" s="54">
        <f t="shared" si="29"/>
        <v>-1.4439872599326886</v>
      </c>
      <c r="L125" s="21"/>
    </row>
    <row r="126" spans="2:12" x14ac:dyDescent="0.25">
      <c r="B126" s="22"/>
      <c r="C126" s="55"/>
      <c r="D126" s="24" t="s">
        <v>47</v>
      </c>
      <c r="E126" s="81">
        <v>0.32163418901244623</v>
      </c>
      <c r="F126" s="81">
        <v>0.62991776084672402</v>
      </c>
      <c r="G126" s="81">
        <v>0.70830508668213976</v>
      </c>
      <c r="H126" s="81">
        <v>0.72581109642962038</v>
      </c>
      <c r="I126" s="81">
        <v>0.73953318080874053</v>
      </c>
      <c r="J126" s="81">
        <f t="shared" si="18"/>
        <v>1.8905861933802504E-2</v>
      </c>
      <c r="K126" s="56">
        <f>(I126-H126)*100</f>
        <v>1.3722084379120147</v>
      </c>
      <c r="L126" s="81"/>
    </row>
    <row r="127" spans="2:12" x14ac:dyDescent="0.25">
      <c r="B127" s="22"/>
      <c r="C127" s="55"/>
      <c r="D127" s="24" t="s">
        <v>48</v>
      </c>
      <c r="E127" s="81">
        <v>0.34514650515632672</v>
      </c>
      <c r="F127" s="81">
        <v>0.51965873065207935</v>
      </c>
      <c r="G127" s="81">
        <v>0.52090203169875549</v>
      </c>
      <c r="H127" s="81">
        <v>0.58501515649538005</v>
      </c>
      <c r="I127" s="81">
        <v>0.58212115864572567</v>
      </c>
      <c r="J127" s="81">
        <f t="shared" si="18"/>
        <v>-4.9468767048554962E-3</v>
      </c>
      <c r="K127" s="56">
        <f t="shared" ref="K127:K134" si="30">(I127-H127)*100</f>
        <v>-0.28939978496543839</v>
      </c>
      <c r="L127" s="81"/>
    </row>
    <row r="128" spans="2:12" x14ac:dyDescent="0.25">
      <c r="B128" s="22"/>
      <c r="C128" s="55"/>
      <c r="D128" s="24" t="s">
        <v>49</v>
      </c>
      <c r="E128" s="81">
        <v>0.23674428792882657</v>
      </c>
      <c r="F128" s="81">
        <v>0.59481284178222849</v>
      </c>
      <c r="G128" s="81">
        <v>0.66916574728081646</v>
      </c>
      <c r="H128" s="81">
        <v>0.88582076505018592</v>
      </c>
      <c r="I128" s="81">
        <v>0.66370618785916269</v>
      </c>
      <c r="J128" s="81">
        <f t="shared" si="18"/>
        <v>-0.2507443784956197</v>
      </c>
      <c r="K128" s="56">
        <f t="shared" si="30"/>
        <v>-22.211457719102324</v>
      </c>
      <c r="L128" s="81"/>
    </row>
    <row r="129" spans="2:12" x14ac:dyDescent="0.25">
      <c r="B129" s="22"/>
      <c r="C129" s="55"/>
      <c r="D129" s="24" t="s">
        <v>50</v>
      </c>
      <c r="E129" s="81">
        <v>0.45927662491514371</v>
      </c>
      <c r="F129" s="81">
        <v>0.63564538533671411</v>
      </c>
      <c r="G129" s="81">
        <v>0.72544465923162038</v>
      </c>
      <c r="H129" s="81">
        <v>0.78513812183614595</v>
      </c>
      <c r="I129" s="81">
        <v>0.78019450652705802</v>
      </c>
      <c r="J129" s="81">
        <f t="shared" si="18"/>
        <v>-6.2964912435109488E-3</v>
      </c>
      <c r="K129" s="56">
        <f t="shared" si="30"/>
        <v>-0.49436153090879342</v>
      </c>
      <c r="L129" s="81"/>
    </row>
    <row r="130" spans="2:12" x14ac:dyDescent="0.25">
      <c r="B130" s="22"/>
      <c r="C130" s="55"/>
      <c r="D130" s="24" t="s">
        <v>51</v>
      </c>
      <c r="E130" s="81">
        <v>0.38452075858534085</v>
      </c>
      <c r="F130" s="81">
        <v>0.5682575252861729</v>
      </c>
      <c r="G130" s="81">
        <v>0.61293867828352899</v>
      </c>
      <c r="H130" s="81">
        <v>0.60414098847830855</v>
      </c>
      <c r="I130" s="81">
        <v>0.6138998592320325</v>
      </c>
      <c r="J130" s="81">
        <f t="shared" si="18"/>
        <v>1.6153300206139365E-2</v>
      </c>
      <c r="K130" s="56">
        <f t="shared" si="30"/>
        <v>0.97588707537239472</v>
      </c>
      <c r="L130" s="81"/>
    </row>
    <row r="131" spans="2:12" x14ac:dyDescent="0.25">
      <c r="B131" s="22"/>
      <c r="C131" s="55"/>
      <c r="D131" s="24" t="s">
        <v>52</v>
      </c>
      <c r="E131" s="81">
        <v>0.69156187297981575</v>
      </c>
      <c r="F131" s="81">
        <v>0.81001561791526022</v>
      </c>
      <c r="G131" s="81">
        <v>0.8317074243127901</v>
      </c>
      <c r="H131" s="81">
        <v>0.85147616167208329</v>
      </c>
      <c r="I131" s="81">
        <v>0.83844071812757437</v>
      </c>
      <c r="J131" s="81">
        <f t="shared" si="18"/>
        <v>-1.5309228996981727E-2</v>
      </c>
      <c r="K131" s="56">
        <f t="shared" si="30"/>
        <v>-1.3035443544508918</v>
      </c>
      <c r="L131" s="81"/>
    </row>
    <row r="132" spans="2:12" x14ac:dyDescent="0.25">
      <c r="B132" s="22"/>
      <c r="C132" s="55"/>
      <c r="D132" s="24" t="s">
        <v>53</v>
      </c>
      <c r="E132" s="81">
        <v>0.38850931585362614</v>
      </c>
      <c r="F132" s="81">
        <v>0.53783303156920248</v>
      </c>
      <c r="G132" s="81">
        <v>0.55364561799642942</v>
      </c>
      <c r="H132" s="81">
        <v>0.57333606414187355</v>
      </c>
      <c r="I132" s="81">
        <v>0.61984129815208655</v>
      </c>
      <c r="J132" s="81">
        <f t="shared" si="18"/>
        <v>8.1113393904181708E-2</v>
      </c>
      <c r="K132" s="56">
        <f t="shared" si="30"/>
        <v>4.6505234010213004</v>
      </c>
      <c r="L132" s="81"/>
    </row>
    <row r="133" spans="2:12" x14ac:dyDescent="0.25">
      <c r="B133" s="22"/>
      <c r="C133" s="55"/>
      <c r="D133" s="24" t="s">
        <v>54</v>
      </c>
      <c r="E133" s="81">
        <v>0.42269220716670419</v>
      </c>
      <c r="F133" s="81">
        <v>0.74066951727703789</v>
      </c>
      <c r="G133" s="81">
        <v>0.81090141467315047</v>
      </c>
      <c r="H133" s="81">
        <v>0.85128349283825056</v>
      </c>
      <c r="I133" s="81">
        <v>0.85405713568205566</v>
      </c>
      <c r="J133" s="81">
        <f t="shared" si="18"/>
        <v>3.2581893894800817E-3</v>
      </c>
      <c r="K133" s="56">
        <f t="shared" si="30"/>
        <v>0.2773642843805102</v>
      </c>
      <c r="L133" s="27"/>
    </row>
    <row r="134" spans="2:12" x14ac:dyDescent="0.25">
      <c r="B134" s="22"/>
      <c r="C134" s="57"/>
      <c r="D134" s="29" t="s">
        <v>55</v>
      </c>
      <c r="E134" s="81">
        <v>0.25499631856522376</v>
      </c>
      <c r="F134" s="81">
        <v>0.50339652641381305</v>
      </c>
      <c r="G134" s="81">
        <v>0.6869951093487916</v>
      </c>
      <c r="H134" s="81">
        <v>0.65326560709238357</v>
      </c>
      <c r="I134" s="81">
        <v>0.64819479696104199</v>
      </c>
      <c r="J134" s="81">
        <f t="shared" si="18"/>
        <v>-7.7622487335760049E-3</v>
      </c>
      <c r="K134" s="56">
        <f t="shared" si="30"/>
        <v>-0.50708101313415854</v>
      </c>
      <c r="L134" s="58"/>
    </row>
    <row r="135" spans="2:12" x14ac:dyDescent="0.25">
      <c r="B135" s="22"/>
      <c r="C135" s="59" t="s">
        <v>39</v>
      </c>
      <c r="D135" s="86" t="s">
        <v>45</v>
      </c>
      <c r="E135" s="87">
        <v>75400.5</v>
      </c>
      <c r="F135" s="87">
        <v>123193.1</v>
      </c>
      <c r="G135" s="87">
        <v>125291.2</v>
      </c>
      <c r="H135" s="87">
        <v>127227.3</v>
      </c>
      <c r="I135" s="87">
        <v>125344.1</v>
      </c>
      <c r="J135" s="88">
        <f t="shared" si="18"/>
        <v>-1.4801854633400224E-2</v>
      </c>
      <c r="K135" s="87">
        <f t="shared" ref="K135:K136" si="31">I135-H135</f>
        <v>-1883.1999999999971</v>
      </c>
      <c r="L135" s="88">
        <f>I135/$I$135</f>
        <v>1</v>
      </c>
    </row>
    <row r="136" spans="2:12" x14ac:dyDescent="0.25">
      <c r="B136" s="22"/>
      <c r="C136" s="36"/>
      <c r="D136" s="33" t="s">
        <v>46</v>
      </c>
      <c r="E136" s="34">
        <v>27201.9</v>
      </c>
      <c r="F136" s="34">
        <v>44026</v>
      </c>
      <c r="G136" s="34">
        <v>45768.3</v>
      </c>
      <c r="H136" s="34">
        <v>46422.1</v>
      </c>
      <c r="I136" s="34">
        <v>44846.6</v>
      </c>
      <c r="J136" s="45">
        <f t="shared" si="18"/>
        <v>-3.393857666930189E-2</v>
      </c>
      <c r="K136" s="34">
        <f t="shared" si="31"/>
        <v>-1575.5</v>
      </c>
      <c r="L136" s="47">
        <f t="shared" ref="L136:L145" si="32">I136/$I$135</f>
        <v>0.35778788151975238</v>
      </c>
    </row>
    <row r="137" spans="2:12" x14ac:dyDescent="0.25">
      <c r="B137" s="22"/>
      <c r="C137" s="36"/>
      <c r="D137" s="4" t="s">
        <v>47</v>
      </c>
      <c r="E137" s="37">
        <v>21685.3</v>
      </c>
      <c r="F137" s="37">
        <v>38045.300000000003</v>
      </c>
      <c r="G137" s="37">
        <v>37429.300000000003</v>
      </c>
      <c r="H137" s="37">
        <v>37776.199999999997</v>
      </c>
      <c r="I137" s="37">
        <v>37264.800000000003</v>
      </c>
      <c r="J137" s="97">
        <f>I137/H137-1</f>
        <v>-1.3537624218423083E-2</v>
      </c>
      <c r="K137" s="37">
        <f>I137-H137</f>
        <v>-511.39999999999418</v>
      </c>
      <c r="L137" s="98">
        <f t="shared" si="32"/>
        <v>0.29729999258042461</v>
      </c>
    </row>
    <row r="138" spans="2:12" x14ac:dyDescent="0.25">
      <c r="B138" s="22"/>
      <c r="C138" s="36"/>
      <c r="D138" s="4" t="s">
        <v>48</v>
      </c>
      <c r="E138" s="37">
        <v>642</v>
      </c>
      <c r="F138" s="37">
        <v>846.4</v>
      </c>
      <c r="G138" s="37">
        <v>897.1</v>
      </c>
      <c r="H138" s="37">
        <v>897.5</v>
      </c>
      <c r="I138" s="37">
        <v>913.4</v>
      </c>
      <c r="J138" s="97">
        <f t="shared" ref="J138:J145" si="33">I138/H138-1</f>
        <v>1.7715877437325833E-2</v>
      </c>
      <c r="K138" s="37">
        <f t="shared" ref="K138:K145" si="34">I138-H138</f>
        <v>15.899999999999977</v>
      </c>
      <c r="L138" s="98">
        <f t="shared" si="32"/>
        <v>7.2871399611150424E-3</v>
      </c>
    </row>
    <row r="139" spans="2:12" x14ac:dyDescent="0.25">
      <c r="B139" s="22"/>
      <c r="C139" s="36"/>
      <c r="D139" s="4" t="s">
        <v>49</v>
      </c>
      <c r="E139" s="37">
        <v>3901.6</v>
      </c>
      <c r="F139" s="37">
        <v>4562</v>
      </c>
      <c r="G139" s="37">
        <v>4390.3999999999996</v>
      </c>
      <c r="H139" s="37">
        <v>4388.6000000000004</v>
      </c>
      <c r="I139" s="37">
        <v>4616</v>
      </c>
      <c r="J139" s="97">
        <f t="shared" si="33"/>
        <v>5.1816068905801371E-2</v>
      </c>
      <c r="K139" s="37">
        <f t="shared" si="34"/>
        <v>227.39999999999964</v>
      </c>
      <c r="L139" s="98">
        <f t="shared" si="32"/>
        <v>3.6826623670360228E-2</v>
      </c>
    </row>
    <row r="140" spans="2:12" x14ac:dyDescent="0.25">
      <c r="B140" s="22"/>
      <c r="C140" s="36"/>
      <c r="D140" s="4" t="s">
        <v>50</v>
      </c>
      <c r="E140" s="37">
        <v>9845.4</v>
      </c>
      <c r="F140" s="37">
        <v>18323</v>
      </c>
      <c r="G140" s="37">
        <v>19164.400000000001</v>
      </c>
      <c r="H140" s="37">
        <v>20043.8</v>
      </c>
      <c r="I140" s="37">
        <v>20012.8</v>
      </c>
      <c r="J140" s="97">
        <f t="shared" si="33"/>
        <v>-1.5466129177101884E-3</v>
      </c>
      <c r="K140" s="37">
        <f t="shared" si="34"/>
        <v>-31</v>
      </c>
      <c r="L140" s="98">
        <f t="shared" si="32"/>
        <v>0.15966288002387027</v>
      </c>
    </row>
    <row r="141" spans="2:12" x14ac:dyDescent="0.25">
      <c r="B141" s="22"/>
      <c r="C141" s="36"/>
      <c r="D141" s="4" t="s">
        <v>51</v>
      </c>
      <c r="E141" s="37">
        <v>513</v>
      </c>
      <c r="F141" s="37">
        <v>651.6</v>
      </c>
      <c r="G141" s="37">
        <v>661.5</v>
      </c>
      <c r="H141" s="37">
        <v>673</v>
      </c>
      <c r="I141" s="37">
        <v>673</v>
      </c>
      <c r="J141" s="97">
        <f t="shared" si="33"/>
        <v>0</v>
      </c>
      <c r="K141" s="37">
        <f t="shared" si="34"/>
        <v>0</v>
      </c>
      <c r="L141" s="98">
        <f t="shared" si="32"/>
        <v>5.3692196122513943E-3</v>
      </c>
    </row>
    <row r="142" spans="2:12" x14ac:dyDescent="0.25">
      <c r="B142" s="22"/>
      <c r="C142" s="36"/>
      <c r="D142" s="4" t="s">
        <v>52</v>
      </c>
      <c r="E142" s="37">
        <v>2655.5</v>
      </c>
      <c r="F142" s="37">
        <v>4438</v>
      </c>
      <c r="G142" s="37">
        <v>4788.2</v>
      </c>
      <c r="H142" s="37">
        <v>4797</v>
      </c>
      <c r="I142" s="37">
        <v>4743</v>
      </c>
      <c r="J142" s="97">
        <f t="shared" si="33"/>
        <v>-1.1257035647279534E-2</v>
      </c>
      <c r="K142" s="37">
        <f t="shared" si="34"/>
        <v>-54</v>
      </c>
      <c r="L142" s="98">
        <f t="shared" si="32"/>
        <v>3.783983450357855E-2</v>
      </c>
    </row>
    <row r="143" spans="2:12" x14ac:dyDescent="0.25">
      <c r="B143" s="22"/>
      <c r="C143" s="36"/>
      <c r="D143" s="4" t="s">
        <v>53</v>
      </c>
      <c r="E143" s="37">
        <v>2225.4</v>
      </c>
      <c r="F143" s="37">
        <v>2649.9</v>
      </c>
      <c r="G143" s="37">
        <v>2777.3</v>
      </c>
      <c r="H143" s="37">
        <v>2721.3999999999996</v>
      </c>
      <c r="I143" s="37">
        <v>2674.7000000000003</v>
      </c>
      <c r="J143" s="97">
        <f t="shared" si="33"/>
        <v>-1.7160285147350351E-2</v>
      </c>
      <c r="K143" s="37">
        <f t="shared" si="34"/>
        <v>-46.699999999999363</v>
      </c>
      <c r="L143" s="98">
        <f t="shared" si="32"/>
        <v>2.1338858390622297E-2</v>
      </c>
    </row>
    <row r="144" spans="2:12" x14ac:dyDescent="0.25">
      <c r="B144" s="22"/>
      <c r="C144" s="36"/>
      <c r="D144" s="4" t="s">
        <v>54</v>
      </c>
      <c r="E144" s="37">
        <v>3988.6</v>
      </c>
      <c r="F144" s="37">
        <v>6412.9</v>
      </c>
      <c r="G144" s="37">
        <v>6343.6</v>
      </c>
      <c r="H144" s="37">
        <v>6415</v>
      </c>
      <c r="I144" s="37">
        <v>6497</v>
      </c>
      <c r="J144" s="49">
        <f t="shared" si="33"/>
        <v>1.278254091971931E-2</v>
      </c>
      <c r="K144" s="37">
        <f t="shared" si="34"/>
        <v>82</v>
      </c>
      <c r="L144" s="51">
        <f t="shared" si="32"/>
        <v>5.1833313255270887E-2</v>
      </c>
    </row>
    <row r="145" spans="2:12" x14ac:dyDescent="0.25">
      <c r="B145" s="61"/>
      <c r="C145" s="40"/>
      <c r="D145" s="41" t="s">
        <v>55</v>
      </c>
      <c r="E145" s="92">
        <v>2741.8</v>
      </c>
      <c r="F145" s="92">
        <v>3238</v>
      </c>
      <c r="G145" s="92">
        <v>3071.0999999999995</v>
      </c>
      <c r="H145" s="92">
        <v>3092.7</v>
      </c>
      <c r="I145" s="92">
        <v>3102.7999999999997</v>
      </c>
      <c r="J145" s="83">
        <f t="shared" si="33"/>
        <v>3.2657548420473859E-3</v>
      </c>
      <c r="K145" s="92">
        <f t="shared" si="34"/>
        <v>10.099999999999909</v>
      </c>
      <c r="L145" s="73">
        <f t="shared" si="32"/>
        <v>2.4754256482754269E-2</v>
      </c>
    </row>
    <row r="146" spans="2:12" ht="6" customHeight="1" x14ac:dyDescent="0.25"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4"/>
    </row>
    <row r="147" spans="2:12" x14ac:dyDescent="0.25">
      <c r="B147" s="66" t="s">
        <v>57</v>
      </c>
      <c r="C147" s="66"/>
      <c r="D147" s="66"/>
      <c r="E147" s="66"/>
      <c r="F147" s="66"/>
      <c r="G147" s="66"/>
      <c r="H147" s="66"/>
      <c r="I147" s="66"/>
      <c r="J147" s="66"/>
      <c r="K147" s="66"/>
    </row>
    <row r="148" spans="2:12" x14ac:dyDescent="0.25">
      <c r="B148" s="82"/>
    </row>
    <row r="150" spans="2:12" ht="21.75" thickBot="1" x14ac:dyDescent="0.3">
      <c r="B150" s="12" t="s">
        <v>58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3"/>
    </row>
    <row r="151" spans="2:12" ht="15.75" thickBo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4"/>
      <c r="C152" s="4"/>
      <c r="D152" s="4"/>
      <c r="E152" s="15">
        <v>2020</v>
      </c>
      <c r="F152" s="15">
        <v>2021</v>
      </c>
      <c r="G152" s="15">
        <v>2022</v>
      </c>
      <c r="H152" s="15">
        <v>2023</v>
      </c>
      <c r="I152" s="15">
        <v>2024</v>
      </c>
      <c r="J152" s="15" t="str">
        <f>CONCATENATE("var. ",RIGHT(I152,2),"/",RIGHT(H152,2))</f>
        <v>var. 24/23</v>
      </c>
      <c r="K152" s="15" t="str">
        <f>CONCATENATE("dif. ",RIGHT(I152,2),"/",RIGHT(H152,2))</f>
        <v>dif. 24/23</v>
      </c>
      <c r="L152" s="15" t="str">
        <f>CONCATENATE("cuota ",I152)</f>
        <v>cuota 2024</v>
      </c>
    </row>
    <row r="153" spans="2:12" x14ac:dyDescent="0.25">
      <c r="B153" s="16" t="s">
        <v>44</v>
      </c>
      <c r="C153" s="17" t="s">
        <v>8</v>
      </c>
      <c r="D153" s="86" t="s">
        <v>45</v>
      </c>
      <c r="E153" s="87">
        <v>1565303</v>
      </c>
      <c r="F153" s="87">
        <v>2335438</v>
      </c>
      <c r="G153" s="87">
        <v>4757683</v>
      </c>
      <c r="H153" s="87">
        <v>5188807</v>
      </c>
      <c r="I153" s="87">
        <v>5480280</v>
      </c>
      <c r="J153" s="88">
        <f>I153/H153-1</f>
        <v>5.6173413272068151E-2</v>
      </c>
      <c r="K153" s="87">
        <f>I153-H153</f>
        <v>291473</v>
      </c>
      <c r="L153" s="88">
        <f>I153/$I$153</f>
        <v>1</v>
      </c>
    </row>
    <row r="154" spans="2:12" x14ac:dyDescent="0.25">
      <c r="B154" s="22"/>
      <c r="C154" s="23"/>
      <c r="D154" s="18" t="s">
        <v>46</v>
      </c>
      <c r="E154" s="19">
        <v>550867</v>
      </c>
      <c r="F154" s="19">
        <v>881045</v>
      </c>
      <c r="G154" s="19">
        <v>1757049</v>
      </c>
      <c r="H154" s="19">
        <v>1888332</v>
      </c>
      <c r="I154" s="19">
        <v>1938898</v>
      </c>
      <c r="J154" s="21">
        <f t="shared" ref="J154" si="35">I154/H154-1</f>
        <v>2.677813011694985E-2</v>
      </c>
      <c r="K154" s="19">
        <f t="shared" ref="K154" si="36">I154-H154</f>
        <v>50566</v>
      </c>
      <c r="L154" s="21">
        <f t="shared" ref="L154:L163" si="37">I154/$I$153</f>
        <v>0.35379542651105417</v>
      </c>
    </row>
    <row r="155" spans="2:12" x14ac:dyDescent="0.25">
      <c r="B155" s="22"/>
      <c r="C155" s="23"/>
      <c r="D155" s="24" t="s">
        <v>47</v>
      </c>
      <c r="E155" s="25">
        <v>375345</v>
      </c>
      <c r="F155" s="25">
        <v>492258</v>
      </c>
      <c r="G155" s="25">
        <v>1243535</v>
      </c>
      <c r="H155" s="25">
        <v>1319978</v>
      </c>
      <c r="I155" s="25">
        <v>1387823</v>
      </c>
      <c r="J155" s="81">
        <f>I155/H155-1</f>
        <v>5.139858391579244E-2</v>
      </c>
      <c r="K155" s="25">
        <f>I155-H155</f>
        <v>67845</v>
      </c>
      <c r="L155" s="81">
        <f t="shared" si="37"/>
        <v>0.2532394330216704</v>
      </c>
    </row>
    <row r="156" spans="2:12" x14ac:dyDescent="0.25">
      <c r="B156" s="22"/>
      <c r="C156" s="23"/>
      <c r="D156" s="24" t="s">
        <v>48</v>
      </c>
      <c r="E156" s="25">
        <v>12633</v>
      </c>
      <c r="F156" s="25">
        <v>20161</v>
      </c>
      <c r="G156" s="25">
        <v>37751</v>
      </c>
      <c r="H156" s="25">
        <v>51166</v>
      </c>
      <c r="I156" s="25">
        <v>43737</v>
      </c>
      <c r="J156" s="81">
        <f t="shared" ref="J156:J218" si="38">I156/H156-1</f>
        <v>-0.14519407418989172</v>
      </c>
      <c r="K156" s="25">
        <f t="shared" ref="K156:K185" si="39">I156-H156</f>
        <v>-7429</v>
      </c>
      <c r="L156" s="81">
        <f t="shared" si="37"/>
        <v>7.9807966016334931E-3</v>
      </c>
    </row>
    <row r="157" spans="2:12" x14ac:dyDescent="0.25">
      <c r="B157" s="22"/>
      <c r="C157" s="23"/>
      <c r="D157" s="24" t="s">
        <v>49</v>
      </c>
      <c r="E157" s="25">
        <v>55313</v>
      </c>
      <c r="F157" s="25">
        <v>70304</v>
      </c>
      <c r="G157" s="25">
        <v>161080</v>
      </c>
      <c r="H157" s="25">
        <v>179837</v>
      </c>
      <c r="I157" s="25">
        <v>231856</v>
      </c>
      <c r="J157" s="81">
        <f t="shared" si="38"/>
        <v>0.28925638216829674</v>
      </c>
      <c r="K157" s="25">
        <f t="shared" si="39"/>
        <v>52019</v>
      </c>
      <c r="L157" s="81">
        <f t="shared" si="37"/>
        <v>4.2307327362835476E-2</v>
      </c>
    </row>
    <row r="158" spans="2:12" x14ac:dyDescent="0.25">
      <c r="B158" s="22"/>
      <c r="C158" s="23"/>
      <c r="D158" s="24" t="s">
        <v>50</v>
      </c>
      <c r="E158" s="25">
        <v>225835</v>
      </c>
      <c r="F158" s="25">
        <v>354204</v>
      </c>
      <c r="G158" s="25">
        <v>710225</v>
      </c>
      <c r="H158" s="25">
        <v>797848</v>
      </c>
      <c r="I158" s="25">
        <v>914356</v>
      </c>
      <c r="J158" s="81">
        <f t="shared" si="38"/>
        <v>0.14602781482187077</v>
      </c>
      <c r="K158" s="25">
        <f t="shared" si="39"/>
        <v>116508</v>
      </c>
      <c r="L158" s="81">
        <f t="shared" si="37"/>
        <v>0.16684475975680074</v>
      </c>
    </row>
    <row r="159" spans="2:12" x14ac:dyDescent="0.25">
      <c r="B159" s="22"/>
      <c r="C159" s="23"/>
      <c r="D159" s="24" t="s">
        <v>51</v>
      </c>
      <c r="E159" s="25">
        <v>24221</v>
      </c>
      <c r="F159" s="25">
        <v>33444</v>
      </c>
      <c r="G159" s="25">
        <v>51485</v>
      </c>
      <c r="H159" s="25">
        <v>58157</v>
      </c>
      <c r="I159" s="25">
        <v>57388</v>
      </c>
      <c r="J159" s="81">
        <f t="shared" si="38"/>
        <v>-1.3222827862510056E-2</v>
      </c>
      <c r="K159" s="25">
        <f t="shared" si="39"/>
        <v>-769</v>
      </c>
      <c r="L159" s="81">
        <f t="shared" si="37"/>
        <v>1.0471727721941215E-2</v>
      </c>
    </row>
    <row r="160" spans="2:12" x14ac:dyDescent="0.25">
      <c r="B160" s="22"/>
      <c r="C160" s="23"/>
      <c r="D160" s="24" t="s">
        <v>52</v>
      </c>
      <c r="E160" s="25">
        <v>77467</v>
      </c>
      <c r="F160" s="25">
        <v>107459</v>
      </c>
      <c r="G160" s="25">
        <v>198873</v>
      </c>
      <c r="H160" s="25">
        <v>252588</v>
      </c>
      <c r="I160" s="25">
        <v>239146</v>
      </c>
      <c r="J160" s="81">
        <f t="shared" si="38"/>
        <v>-5.3217096615832848E-2</v>
      </c>
      <c r="K160" s="25">
        <f t="shared" si="39"/>
        <v>-13442</v>
      </c>
      <c r="L160" s="81">
        <f t="shared" si="37"/>
        <v>4.3637551365988597E-2</v>
      </c>
    </row>
    <row r="161" spans="2:12" x14ac:dyDescent="0.25">
      <c r="B161" s="22"/>
      <c r="C161" s="23"/>
      <c r="D161" s="24" t="s">
        <v>53</v>
      </c>
      <c r="E161" s="25">
        <v>103516</v>
      </c>
      <c r="F161" s="25">
        <v>164258</v>
      </c>
      <c r="G161" s="25">
        <v>229131</v>
      </c>
      <c r="H161" s="25">
        <v>239109</v>
      </c>
      <c r="I161" s="25">
        <v>250871</v>
      </c>
      <c r="J161" s="81">
        <f t="shared" si="38"/>
        <v>4.9190954752853289E-2</v>
      </c>
      <c r="K161" s="25">
        <f t="shared" si="39"/>
        <v>11762</v>
      </c>
      <c r="L161" s="81">
        <f t="shared" si="37"/>
        <v>4.5777040589166977E-2</v>
      </c>
    </row>
    <row r="162" spans="2:12" x14ac:dyDescent="0.25">
      <c r="B162" s="22"/>
      <c r="C162" s="23"/>
      <c r="D162" s="24" t="s">
        <v>54</v>
      </c>
      <c r="E162" s="25">
        <v>96681</v>
      </c>
      <c r="F162" s="25">
        <v>140346</v>
      </c>
      <c r="G162" s="25">
        <v>257117</v>
      </c>
      <c r="H162" s="25">
        <v>278594</v>
      </c>
      <c r="I162" s="25">
        <v>287810</v>
      </c>
      <c r="J162" s="27">
        <f t="shared" si="38"/>
        <v>3.3080396562739978E-2</v>
      </c>
      <c r="K162" s="25">
        <f t="shared" si="39"/>
        <v>9216</v>
      </c>
      <c r="L162" s="27">
        <f t="shared" si="37"/>
        <v>5.2517389622428051E-2</v>
      </c>
    </row>
    <row r="163" spans="2:12" x14ac:dyDescent="0.25">
      <c r="B163" s="22"/>
      <c r="C163" s="28"/>
      <c r="D163" s="29" t="s">
        <v>55</v>
      </c>
      <c r="E163" s="90">
        <v>43425</v>
      </c>
      <c r="F163" s="90">
        <v>71959</v>
      </c>
      <c r="G163" s="90">
        <v>111437</v>
      </c>
      <c r="H163" s="90">
        <v>123198</v>
      </c>
      <c r="I163" s="90">
        <v>128395</v>
      </c>
      <c r="J163" s="58">
        <f t="shared" si="38"/>
        <v>4.2184126365687691E-2</v>
      </c>
      <c r="K163" s="90">
        <f t="shared" si="39"/>
        <v>5197</v>
      </c>
      <c r="L163" s="58">
        <f t="shared" si="37"/>
        <v>2.3428547446480836E-2</v>
      </c>
    </row>
    <row r="164" spans="2:12" x14ac:dyDescent="0.25">
      <c r="B164" s="22"/>
      <c r="C164" s="32" t="s">
        <v>18</v>
      </c>
      <c r="D164" s="86" t="s">
        <v>45</v>
      </c>
      <c r="E164" s="87">
        <v>1664028</v>
      </c>
      <c r="F164" s="87">
        <v>2347681</v>
      </c>
      <c r="G164" s="87">
        <v>4832844</v>
      </c>
      <c r="H164" s="87">
        <v>5281361</v>
      </c>
      <c r="I164" s="87">
        <v>5576793</v>
      </c>
      <c r="J164" s="88">
        <f>I164/H164-1</f>
        <v>5.5938611278418593E-2</v>
      </c>
      <c r="K164" s="87">
        <f>I164-H164</f>
        <v>295432</v>
      </c>
      <c r="L164" s="88">
        <f t="shared" ref="L164:L174" si="40">I164/$I$164</f>
        <v>1</v>
      </c>
    </row>
    <row r="165" spans="2:12" x14ac:dyDescent="0.25">
      <c r="B165" s="22"/>
      <c r="C165" s="36"/>
      <c r="D165" s="33" t="s">
        <v>46</v>
      </c>
      <c r="E165" s="34">
        <v>590539</v>
      </c>
      <c r="F165" s="34">
        <v>886032</v>
      </c>
      <c r="G165" s="34">
        <v>1785371</v>
      </c>
      <c r="H165" s="34">
        <v>1925016</v>
      </c>
      <c r="I165" s="34">
        <v>1977765</v>
      </c>
      <c r="J165" s="104">
        <f t="shared" ref="J165" si="41">I165/H165-1</f>
        <v>2.7401850166440145E-2</v>
      </c>
      <c r="K165" s="34">
        <f t="shared" ref="K165" si="42">I165-H165</f>
        <v>52749</v>
      </c>
      <c r="L165" s="47">
        <f t="shared" si="40"/>
        <v>0.35464199585675854</v>
      </c>
    </row>
    <row r="166" spans="2:12" x14ac:dyDescent="0.25">
      <c r="B166" s="22"/>
      <c r="C166" s="36"/>
      <c r="D166" s="4" t="s">
        <v>47</v>
      </c>
      <c r="E166" s="37">
        <v>404818</v>
      </c>
      <c r="F166" s="37">
        <v>494807</v>
      </c>
      <c r="G166" s="37">
        <v>1265143</v>
      </c>
      <c r="H166" s="37">
        <v>1346080</v>
      </c>
      <c r="I166" s="37">
        <v>1414435</v>
      </c>
      <c r="J166" s="105">
        <f>I166/H166-1</f>
        <v>5.0780785688814944E-2</v>
      </c>
      <c r="K166" s="37">
        <f>I166-H166</f>
        <v>68355</v>
      </c>
      <c r="L166" s="98">
        <f t="shared" si="40"/>
        <v>0.25362874325799795</v>
      </c>
    </row>
    <row r="167" spans="2:12" x14ac:dyDescent="0.25">
      <c r="B167" s="22"/>
      <c r="C167" s="36"/>
      <c r="D167" s="4" t="s">
        <v>48</v>
      </c>
      <c r="E167" s="37">
        <v>13335</v>
      </c>
      <c r="F167" s="37">
        <v>20284</v>
      </c>
      <c r="G167" s="37">
        <v>38233</v>
      </c>
      <c r="H167" s="37">
        <v>51566</v>
      </c>
      <c r="I167" s="37">
        <v>44327</v>
      </c>
      <c r="J167" s="105">
        <f t="shared" ref="J167:J174" si="43">I167/H167-1</f>
        <v>-0.14038319823139278</v>
      </c>
      <c r="K167" s="37">
        <f t="shared" ref="K167:K174" si="44">I167-H167</f>
        <v>-7239</v>
      </c>
      <c r="L167" s="98">
        <f t="shared" si="40"/>
        <v>7.948475046500739E-3</v>
      </c>
    </row>
    <row r="168" spans="2:12" x14ac:dyDescent="0.25">
      <c r="B168" s="22"/>
      <c r="C168" s="36"/>
      <c r="D168" s="4" t="s">
        <v>49</v>
      </c>
      <c r="E168" s="37">
        <v>57877</v>
      </c>
      <c r="F168" s="37">
        <v>71245</v>
      </c>
      <c r="G168" s="37">
        <v>164270</v>
      </c>
      <c r="H168" s="37">
        <v>183368</v>
      </c>
      <c r="I168" s="37">
        <v>234780</v>
      </c>
      <c r="J168" s="105">
        <f t="shared" si="43"/>
        <v>0.28037607434230627</v>
      </c>
      <c r="K168" s="37">
        <f t="shared" si="44"/>
        <v>51412</v>
      </c>
      <c r="L168" s="98">
        <f t="shared" si="40"/>
        <v>4.2099464692341999E-2</v>
      </c>
    </row>
    <row r="169" spans="2:12" x14ac:dyDescent="0.25">
      <c r="B169" s="22"/>
      <c r="C169" s="36"/>
      <c r="D169" s="4" t="s">
        <v>50</v>
      </c>
      <c r="E169" s="37">
        <v>240954</v>
      </c>
      <c r="F169" s="37">
        <v>355287</v>
      </c>
      <c r="G169" s="37">
        <v>720575</v>
      </c>
      <c r="H169" s="37">
        <v>811299</v>
      </c>
      <c r="I169" s="37">
        <v>928708</v>
      </c>
      <c r="J169" s="105">
        <f t="shared" si="43"/>
        <v>0.14471729904757669</v>
      </c>
      <c r="K169" s="37">
        <f t="shared" si="44"/>
        <v>117409</v>
      </c>
      <c r="L169" s="98">
        <f t="shared" si="40"/>
        <v>0.16653083591232451</v>
      </c>
    </row>
    <row r="170" spans="2:12" x14ac:dyDescent="0.25">
      <c r="B170" s="22"/>
      <c r="C170" s="36"/>
      <c r="D170" s="4" t="s">
        <v>51</v>
      </c>
      <c r="E170" s="37">
        <v>24525</v>
      </c>
      <c r="F170" s="37">
        <v>33497</v>
      </c>
      <c r="G170" s="37">
        <v>51855</v>
      </c>
      <c r="H170" s="37">
        <v>58492</v>
      </c>
      <c r="I170" s="37">
        <v>57716</v>
      </c>
      <c r="J170" s="105">
        <f t="shared" si="43"/>
        <v>-1.3266771524310994E-2</v>
      </c>
      <c r="K170" s="37">
        <f t="shared" si="44"/>
        <v>-776</v>
      </c>
      <c r="L170" s="98">
        <f t="shared" si="40"/>
        <v>1.0349317250972019E-2</v>
      </c>
    </row>
    <row r="171" spans="2:12" x14ac:dyDescent="0.25">
      <c r="B171" s="22"/>
      <c r="C171" s="36"/>
      <c r="D171" s="4" t="s">
        <v>52</v>
      </c>
      <c r="E171" s="37">
        <v>80970</v>
      </c>
      <c r="F171" s="37">
        <v>108554</v>
      </c>
      <c r="G171" s="37">
        <v>202302</v>
      </c>
      <c r="H171" s="37">
        <v>255835</v>
      </c>
      <c r="I171" s="37">
        <v>243005</v>
      </c>
      <c r="J171" s="105">
        <f t="shared" si="43"/>
        <v>-5.0149510426642174E-2</v>
      </c>
      <c r="K171" s="37">
        <f t="shared" si="44"/>
        <v>-12830</v>
      </c>
      <c r="L171" s="98">
        <f t="shared" si="40"/>
        <v>4.3574326678433285E-2</v>
      </c>
    </row>
    <row r="172" spans="2:12" x14ac:dyDescent="0.25">
      <c r="B172" s="22"/>
      <c r="C172" s="36"/>
      <c r="D172" s="4" t="s">
        <v>53</v>
      </c>
      <c r="E172" s="37">
        <v>104957</v>
      </c>
      <c r="F172" s="37">
        <v>164413</v>
      </c>
      <c r="G172" s="37">
        <v>230406</v>
      </c>
      <c r="H172" s="37">
        <v>240602</v>
      </c>
      <c r="I172" s="37">
        <v>252566</v>
      </c>
      <c r="J172" s="105">
        <f t="shared" si="43"/>
        <v>4.9725272441625501E-2</v>
      </c>
      <c r="K172" s="37">
        <f t="shared" si="44"/>
        <v>11964</v>
      </c>
      <c r="L172" s="98">
        <f t="shared" si="40"/>
        <v>4.5288752872842869E-2</v>
      </c>
    </row>
    <row r="173" spans="2:12" x14ac:dyDescent="0.25">
      <c r="B173" s="22"/>
      <c r="C173" s="36"/>
      <c r="D173" s="4" t="s">
        <v>54</v>
      </c>
      <c r="E173" s="37">
        <v>100783</v>
      </c>
      <c r="F173" s="37">
        <v>141329</v>
      </c>
      <c r="G173" s="37">
        <v>261644</v>
      </c>
      <c r="H173" s="37">
        <v>283635</v>
      </c>
      <c r="I173" s="37">
        <v>293116</v>
      </c>
      <c r="J173" s="39">
        <f t="shared" si="43"/>
        <v>3.3426763269695181E-2</v>
      </c>
      <c r="K173" s="37">
        <f t="shared" si="44"/>
        <v>9481</v>
      </c>
      <c r="L173" s="51">
        <f t="shared" si="40"/>
        <v>5.2559956950168317E-2</v>
      </c>
    </row>
    <row r="174" spans="2:12" x14ac:dyDescent="0.25">
      <c r="B174" s="22"/>
      <c r="C174" s="40"/>
      <c r="D174" s="41" t="s">
        <v>55</v>
      </c>
      <c r="E174" s="92">
        <v>45270</v>
      </c>
      <c r="F174" s="92">
        <v>72233</v>
      </c>
      <c r="G174" s="92">
        <v>113045</v>
      </c>
      <c r="H174" s="92">
        <v>125468</v>
      </c>
      <c r="I174" s="92">
        <v>130375</v>
      </c>
      <c r="J174" s="93">
        <f t="shared" si="43"/>
        <v>3.9109573755857996E-2</v>
      </c>
      <c r="K174" s="92">
        <f t="shared" si="44"/>
        <v>4907</v>
      </c>
      <c r="L174" s="73">
        <f t="shared" si="40"/>
        <v>2.3378131481659799E-2</v>
      </c>
    </row>
    <row r="175" spans="2:12" x14ac:dyDescent="0.25">
      <c r="B175" s="22"/>
      <c r="C175" s="17" t="s">
        <v>21</v>
      </c>
      <c r="D175" s="86" t="s">
        <v>45</v>
      </c>
      <c r="E175" s="87">
        <v>10243785</v>
      </c>
      <c r="F175" s="87">
        <v>13903380</v>
      </c>
      <c r="G175" s="87">
        <v>31405937</v>
      </c>
      <c r="H175" s="87">
        <v>34509923</v>
      </c>
      <c r="I175" s="87">
        <v>36076748</v>
      </c>
      <c r="J175" s="88">
        <f t="shared" si="38"/>
        <v>4.540215867766495E-2</v>
      </c>
      <c r="K175" s="87">
        <f t="shared" si="39"/>
        <v>1566825</v>
      </c>
      <c r="L175" s="88">
        <f>I175/$I$175</f>
        <v>1</v>
      </c>
    </row>
    <row r="176" spans="2:12" x14ac:dyDescent="0.25">
      <c r="B176" s="22"/>
      <c r="C176" s="23"/>
      <c r="D176" s="18" t="s">
        <v>46</v>
      </c>
      <c r="E176" s="19">
        <v>3913809</v>
      </c>
      <c r="F176" s="19">
        <v>5763674</v>
      </c>
      <c r="G176" s="19">
        <v>12632387</v>
      </c>
      <c r="H176" s="19">
        <v>13590517</v>
      </c>
      <c r="I176" s="19">
        <v>13839613</v>
      </c>
      <c r="J176" s="21">
        <f t="shared" si="38"/>
        <v>1.8328662551983843E-2</v>
      </c>
      <c r="K176" s="19">
        <f t="shared" si="39"/>
        <v>249096</v>
      </c>
      <c r="L176" s="21">
        <f t="shared" ref="L176:L185" si="45">I176/$I$175</f>
        <v>0.38361586803777326</v>
      </c>
    </row>
    <row r="177" spans="2:12" x14ac:dyDescent="0.25">
      <c r="B177" s="22"/>
      <c r="C177" s="23"/>
      <c r="D177" s="24" t="s">
        <v>47</v>
      </c>
      <c r="E177" s="25">
        <v>2858440</v>
      </c>
      <c r="F177" s="25">
        <v>3367162</v>
      </c>
      <c r="G177" s="25">
        <v>8865243</v>
      </c>
      <c r="H177" s="25">
        <v>9739308</v>
      </c>
      <c r="I177" s="25">
        <v>10014981</v>
      </c>
      <c r="J177" s="81">
        <f t="shared" si="38"/>
        <v>2.8305193757092395E-2</v>
      </c>
      <c r="K177" s="25">
        <f t="shared" si="39"/>
        <v>275673</v>
      </c>
      <c r="L177" s="81">
        <f t="shared" si="45"/>
        <v>0.2776020998344973</v>
      </c>
    </row>
    <row r="178" spans="2:12" x14ac:dyDescent="0.25">
      <c r="B178" s="22"/>
      <c r="C178" s="23"/>
      <c r="D178" s="24" t="s">
        <v>48</v>
      </c>
      <c r="E178" s="25">
        <v>65275</v>
      </c>
      <c r="F178" s="25">
        <v>98762</v>
      </c>
      <c r="G178" s="25">
        <v>168339</v>
      </c>
      <c r="H178" s="25">
        <v>182035</v>
      </c>
      <c r="I178" s="25">
        <v>194642</v>
      </c>
      <c r="J178" s="81">
        <f t="shared" si="38"/>
        <v>6.925591232455286E-2</v>
      </c>
      <c r="K178" s="25">
        <f t="shared" si="39"/>
        <v>12607</v>
      </c>
      <c r="L178" s="81">
        <f t="shared" si="45"/>
        <v>5.3952202121987274E-3</v>
      </c>
    </row>
    <row r="179" spans="2:12" x14ac:dyDescent="0.25">
      <c r="B179" s="22"/>
      <c r="C179" s="23"/>
      <c r="D179" s="24" t="s">
        <v>49</v>
      </c>
      <c r="E179" s="25">
        <v>295880</v>
      </c>
      <c r="F179" s="25">
        <v>419370</v>
      </c>
      <c r="G179" s="25">
        <v>1014697</v>
      </c>
      <c r="H179" s="25">
        <v>1034949</v>
      </c>
      <c r="I179" s="25">
        <v>1361415</v>
      </c>
      <c r="J179" s="81">
        <f t="shared" si="38"/>
        <v>0.31544163045715301</v>
      </c>
      <c r="K179" s="25">
        <f t="shared" si="39"/>
        <v>326466</v>
      </c>
      <c r="L179" s="81">
        <f t="shared" si="45"/>
        <v>3.7736633024683934E-2</v>
      </c>
    </row>
    <row r="180" spans="2:12" x14ac:dyDescent="0.25">
      <c r="B180" s="22"/>
      <c r="C180" s="23"/>
      <c r="D180" s="24" t="s">
        <v>50</v>
      </c>
      <c r="E180" s="25">
        <v>1546641</v>
      </c>
      <c r="F180" s="25">
        <v>1967362</v>
      </c>
      <c r="G180" s="25">
        <v>4352393</v>
      </c>
      <c r="H180" s="25">
        <v>5123327</v>
      </c>
      <c r="I180" s="25">
        <v>5751799</v>
      </c>
      <c r="J180" s="81">
        <f t="shared" si="38"/>
        <v>0.12266872678632468</v>
      </c>
      <c r="K180" s="25">
        <f t="shared" si="39"/>
        <v>628472</v>
      </c>
      <c r="L180" s="81">
        <f t="shared" si="45"/>
        <v>0.15943230249023554</v>
      </c>
    </row>
    <row r="181" spans="2:12" x14ac:dyDescent="0.25">
      <c r="B181" s="22"/>
      <c r="C181" s="23"/>
      <c r="D181" s="24" t="s">
        <v>51</v>
      </c>
      <c r="E181" s="25">
        <v>59047</v>
      </c>
      <c r="F181" s="25">
        <v>83402</v>
      </c>
      <c r="G181" s="25">
        <v>137757</v>
      </c>
      <c r="H181" s="25">
        <v>148334</v>
      </c>
      <c r="I181" s="25">
        <v>152300</v>
      </c>
      <c r="J181" s="81">
        <f t="shared" si="38"/>
        <v>2.6736958485579887E-2</v>
      </c>
      <c r="K181" s="25">
        <f t="shared" si="39"/>
        <v>3966</v>
      </c>
      <c r="L181" s="81">
        <f t="shared" si="45"/>
        <v>4.2215556679332626E-3</v>
      </c>
    </row>
    <row r="182" spans="2:12" x14ac:dyDescent="0.25">
      <c r="B182" s="22"/>
      <c r="C182" s="23"/>
      <c r="D182" s="24" t="s">
        <v>52</v>
      </c>
      <c r="E182" s="25">
        <v>442013</v>
      </c>
      <c r="F182" s="25">
        <v>749212</v>
      </c>
      <c r="G182" s="25">
        <v>1316064</v>
      </c>
      <c r="H182" s="25">
        <v>1447168</v>
      </c>
      <c r="I182" s="25">
        <v>1453294</v>
      </c>
      <c r="J182" s="81">
        <f t="shared" si="38"/>
        <v>4.2330952591544957E-3</v>
      </c>
      <c r="K182" s="25">
        <f t="shared" si="39"/>
        <v>6126</v>
      </c>
      <c r="L182" s="81">
        <f t="shared" si="45"/>
        <v>4.0283398049070274E-2</v>
      </c>
    </row>
    <row r="183" spans="2:12" x14ac:dyDescent="0.25">
      <c r="B183" s="22"/>
      <c r="C183" s="23"/>
      <c r="D183" s="24" t="s">
        <v>53</v>
      </c>
      <c r="E183" s="25">
        <v>216673</v>
      </c>
      <c r="F183" s="25">
        <v>359169</v>
      </c>
      <c r="G183" s="25">
        <v>543499</v>
      </c>
      <c r="H183" s="25">
        <v>576462</v>
      </c>
      <c r="I183" s="25">
        <v>584273</v>
      </c>
      <c r="J183" s="81">
        <f t="shared" si="38"/>
        <v>1.3549895743344642E-2</v>
      </c>
      <c r="K183" s="25">
        <f t="shared" si="39"/>
        <v>7811</v>
      </c>
      <c r="L183" s="81">
        <f t="shared" si="45"/>
        <v>1.6195279020160019E-2</v>
      </c>
    </row>
    <row r="184" spans="2:12" x14ac:dyDescent="0.25">
      <c r="B184" s="22"/>
      <c r="C184" s="23"/>
      <c r="D184" s="24" t="s">
        <v>54</v>
      </c>
      <c r="E184" s="25">
        <v>610766</v>
      </c>
      <c r="F184" s="25">
        <v>774989</v>
      </c>
      <c r="G184" s="25">
        <v>1753117</v>
      </c>
      <c r="H184" s="25">
        <v>1886738</v>
      </c>
      <c r="I184" s="25">
        <v>1988780</v>
      </c>
      <c r="J184" s="27">
        <f t="shared" si="38"/>
        <v>5.4083820859069931E-2</v>
      </c>
      <c r="K184" s="25">
        <f t="shared" si="39"/>
        <v>102042</v>
      </c>
      <c r="L184" s="27">
        <f t="shared" si="45"/>
        <v>5.512636560257593E-2</v>
      </c>
    </row>
    <row r="185" spans="2:12" x14ac:dyDescent="0.25">
      <c r="B185" s="22"/>
      <c r="C185" s="28"/>
      <c r="D185" s="29" t="s">
        <v>55</v>
      </c>
      <c r="E185" s="90">
        <v>235241</v>
      </c>
      <c r="F185" s="90">
        <v>320278</v>
      </c>
      <c r="G185" s="90">
        <v>622441</v>
      </c>
      <c r="H185" s="90">
        <v>781085</v>
      </c>
      <c r="I185" s="90">
        <v>735651</v>
      </c>
      <c r="J185" s="58">
        <f t="shared" si="38"/>
        <v>-5.8167805040424514E-2</v>
      </c>
      <c r="K185" s="90">
        <f t="shared" si="39"/>
        <v>-45434</v>
      </c>
      <c r="L185" s="58">
        <f t="shared" si="45"/>
        <v>2.0391278060871782E-2</v>
      </c>
    </row>
    <row r="186" spans="2:12" x14ac:dyDescent="0.25">
      <c r="B186" s="22"/>
      <c r="C186" s="32" t="s">
        <v>22</v>
      </c>
      <c r="D186" s="86" t="s">
        <v>45</v>
      </c>
      <c r="E186" s="95">
        <f t="shared" ref="E186:I187" si="46">E175/E153</f>
        <v>6.5442824807720932</v>
      </c>
      <c r="F186" s="95">
        <f t="shared" si="46"/>
        <v>5.9532216226677823</v>
      </c>
      <c r="G186" s="95">
        <f t="shared" si="46"/>
        <v>6.6010991064347921</v>
      </c>
      <c r="H186" s="95">
        <f t="shared" si="46"/>
        <v>6.6508395860551373</v>
      </c>
      <c r="I186" s="95">
        <f t="shared" si="46"/>
        <v>6.583011816914464</v>
      </c>
      <c r="J186" s="88">
        <f t="shared" si="38"/>
        <v>-1.0198376951218058E-2</v>
      </c>
      <c r="K186" s="95">
        <f t="shared" ref="K186:K187" si="47">(I186-H186)</f>
        <v>-6.7827769140673233E-2</v>
      </c>
      <c r="L186" s="88"/>
    </row>
    <row r="187" spans="2:12" x14ac:dyDescent="0.25">
      <c r="B187" s="22"/>
      <c r="C187" s="36"/>
      <c r="D187" s="33" t="s">
        <v>46</v>
      </c>
      <c r="E187" s="46">
        <f t="shared" si="46"/>
        <v>7.1048165891222386</v>
      </c>
      <c r="F187" s="46">
        <f t="shared" si="46"/>
        <v>6.5418610854156141</v>
      </c>
      <c r="G187" s="46">
        <f t="shared" si="46"/>
        <v>7.1895473603752658</v>
      </c>
      <c r="H187" s="46">
        <f t="shared" si="46"/>
        <v>7.1971014630901768</v>
      </c>
      <c r="I187" s="46">
        <f t="shared" si="46"/>
        <v>7.1378757417873455</v>
      </c>
      <c r="J187" s="104">
        <f t="shared" si="38"/>
        <v>-8.2291074547949927E-3</v>
      </c>
      <c r="K187" s="46">
        <f t="shared" si="47"/>
        <v>-5.9225721302831325E-2</v>
      </c>
      <c r="L187" s="47"/>
    </row>
    <row r="188" spans="2:12" x14ac:dyDescent="0.25">
      <c r="B188" s="22"/>
      <c r="C188" s="36"/>
      <c r="D188" s="4" t="s">
        <v>47</v>
      </c>
      <c r="E188" s="50">
        <f>E177/E155</f>
        <v>7.6155004062928775</v>
      </c>
      <c r="F188" s="50">
        <f>F177/F155</f>
        <v>6.8402382490482632</v>
      </c>
      <c r="G188" s="50">
        <f>G177/G155</f>
        <v>7.1290659289847085</v>
      </c>
      <c r="H188" s="50">
        <f>H177/H155</f>
        <v>7.378386609473794</v>
      </c>
      <c r="I188" s="50">
        <f>I177/I155</f>
        <v>7.2163244160098223</v>
      </c>
      <c r="J188" s="105">
        <f t="shared" si="38"/>
        <v>-2.1964448603965181E-2</v>
      </c>
      <c r="K188" s="50">
        <f>(I188-H188)</f>
        <v>-0.16206219346397166</v>
      </c>
      <c r="L188" s="98"/>
    </row>
    <row r="189" spans="2:12" x14ac:dyDescent="0.25">
      <c r="B189" s="22"/>
      <c r="C189" s="36"/>
      <c r="D189" s="4" t="s">
        <v>48</v>
      </c>
      <c r="E189" s="50">
        <f t="shared" ref="E189:I196" si="48">E178/E156</f>
        <v>5.1670228765930499</v>
      </c>
      <c r="F189" s="50">
        <f t="shared" si="48"/>
        <v>4.8986657407866669</v>
      </c>
      <c r="G189" s="50">
        <f t="shared" si="48"/>
        <v>4.4591931339567168</v>
      </c>
      <c r="H189" s="50">
        <f t="shared" si="48"/>
        <v>3.5577336512527848</v>
      </c>
      <c r="I189" s="50">
        <f t="shared" si="48"/>
        <v>4.4502823696184013</v>
      </c>
      <c r="J189" s="105">
        <f t="shared" si="38"/>
        <v>0.25087564327681555</v>
      </c>
      <c r="K189" s="50">
        <f t="shared" ref="K189:K196" si="49">(I189-H189)</f>
        <v>0.89254871836561644</v>
      </c>
      <c r="L189" s="98"/>
    </row>
    <row r="190" spans="2:12" x14ac:dyDescent="0.25">
      <c r="B190" s="22"/>
      <c r="C190" s="36"/>
      <c r="D190" s="4" t="s">
        <v>49</v>
      </c>
      <c r="E190" s="50">
        <f t="shared" si="48"/>
        <v>5.3491945835517871</v>
      </c>
      <c r="F190" s="50">
        <f t="shared" si="48"/>
        <v>5.9650944469731453</v>
      </c>
      <c r="G190" s="50">
        <f t="shared" si="48"/>
        <v>6.2993357337968714</v>
      </c>
      <c r="H190" s="50">
        <f t="shared" si="48"/>
        <v>5.7549280737556785</v>
      </c>
      <c r="I190" s="50">
        <f t="shared" si="48"/>
        <v>5.8718126768338967</v>
      </c>
      <c r="J190" s="105">
        <f t="shared" si="38"/>
        <v>2.0310349943598593E-2</v>
      </c>
      <c r="K190" s="50">
        <f t="shared" si="49"/>
        <v>0.11688460307821824</v>
      </c>
      <c r="L190" s="98"/>
    </row>
    <row r="191" spans="2:12" x14ac:dyDescent="0.25">
      <c r="B191" s="22"/>
      <c r="C191" s="36"/>
      <c r="D191" s="4" t="s">
        <v>50</v>
      </c>
      <c r="E191" s="50">
        <f t="shared" si="48"/>
        <v>6.8485442911860428</v>
      </c>
      <c r="F191" s="50">
        <f t="shared" si="48"/>
        <v>5.5543189800228117</v>
      </c>
      <c r="G191" s="50">
        <f t="shared" si="48"/>
        <v>6.1281889542046537</v>
      </c>
      <c r="H191" s="50">
        <f t="shared" si="48"/>
        <v>6.4214324031645127</v>
      </c>
      <c r="I191" s="50">
        <f t="shared" si="48"/>
        <v>6.2905465704823937</v>
      </c>
      <c r="J191" s="105">
        <f t="shared" si="38"/>
        <v>-2.0382653661139227E-2</v>
      </c>
      <c r="K191" s="50">
        <f t="shared" si="49"/>
        <v>-0.13088583268211895</v>
      </c>
      <c r="L191" s="98"/>
    </row>
    <row r="192" spans="2:12" x14ac:dyDescent="0.25">
      <c r="B192" s="22"/>
      <c r="C192" s="36"/>
      <c r="D192" s="4" t="s">
        <v>51</v>
      </c>
      <c r="E192" s="50">
        <f t="shared" si="48"/>
        <v>2.437843193922629</v>
      </c>
      <c r="F192" s="50">
        <f t="shared" si="48"/>
        <v>2.4937806482478173</v>
      </c>
      <c r="G192" s="50">
        <f t="shared" si="48"/>
        <v>2.6756725259784404</v>
      </c>
      <c r="H192" s="50">
        <f t="shared" si="48"/>
        <v>2.5505786061867015</v>
      </c>
      <c r="I192" s="50">
        <f t="shared" si="48"/>
        <v>2.6538649194953647</v>
      </c>
      <c r="J192" s="105">
        <f t="shared" si="38"/>
        <v>4.0495248042201615E-2</v>
      </c>
      <c r="K192" s="50">
        <f t="shared" si="49"/>
        <v>0.10328631330866322</v>
      </c>
      <c r="L192" s="98"/>
    </row>
    <row r="193" spans="2:12" x14ac:dyDescent="0.25">
      <c r="B193" s="22"/>
      <c r="C193" s="36"/>
      <c r="D193" s="4" t="s">
        <v>52</v>
      </c>
      <c r="E193" s="50">
        <f t="shared" si="48"/>
        <v>5.7058231246853497</v>
      </c>
      <c r="F193" s="50">
        <f t="shared" si="48"/>
        <v>6.9720730697289195</v>
      </c>
      <c r="G193" s="50">
        <f t="shared" si="48"/>
        <v>6.6176102336667117</v>
      </c>
      <c r="H193" s="50">
        <f t="shared" si="48"/>
        <v>5.729361648217651</v>
      </c>
      <c r="I193" s="50">
        <f t="shared" si="48"/>
        <v>6.0770157142498729</v>
      </c>
      <c r="J193" s="105">
        <f t="shared" si="38"/>
        <v>6.0679371870402621E-2</v>
      </c>
      <c r="K193" s="50">
        <f t="shared" si="49"/>
        <v>0.34765406603222182</v>
      </c>
      <c r="L193" s="98"/>
    </row>
    <row r="194" spans="2:12" x14ac:dyDescent="0.25">
      <c r="B194" s="22"/>
      <c r="C194" s="36"/>
      <c r="D194" s="4" t="s">
        <v>53</v>
      </c>
      <c r="E194" s="50">
        <f t="shared" si="48"/>
        <v>2.0931353607171839</v>
      </c>
      <c r="F194" s="50">
        <f t="shared" si="48"/>
        <v>2.1866149593931499</v>
      </c>
      <c r="G194" s="50">
        <f t="shared" si="48"/>
        <v>2.3720011696365835</v>
      </c>
      <c r="H194" s="50">
        <f t="shared" si="48"/>
        <v>2.410875374829053</v>
      </c>
      <c r="I194" s="50">
        <f t="shared" si="48"/>
        <v>2.328977841201255</v>
      </c>
      <c r="J194" s="105">
        <f t="shared" si="38"/>
        <v>-3.3970040294432513E-2</v>
      </c>
      <c r="K194" s="50">
        <f t="shared" si="49"/>
        <v>-8.1897533627798058E-2</v>
      </c>
      <c r="L194" s="98"/>
    </row>
    <row r="195" spans="2:12" x14ac:dyDescent="0.25">
      <c r="B195" s="22"/>
      <c r="C195" s="36"/>
      <c r="D195" s="4" t="s">
        <v>54</v>
      </c>
      <c r="E195" s="50">
        <f t="shared" si="48"/>
        <v>6.3173322576307651</v>
      </c>
      <c r="F195" s="50">
        <f t="shared" si="48"/>
        <v>5.5219885141008653</v>
      </c>
      <c r="G195" s="50">
        <f t="shared" si="48"/>
        <v>6.81836284648623</v>
      </c>
      <c r="H195" s="50">
        <f t="shared" si="48"/>
        <v>6.7723569064660403</v>
      </c>
      <c r="I195" s="50">
        <f t="shared" si="48"/>
        <v>6.910044821236232</v>
      </c>
      <c r="J195" s="39">
        <f t="shared" si="38"/>
        <v>2.0330871020505681E-2</v>
      </c>
      <c r="K195" s="50">
        <f t="shared" si="49"/>
        <v>0.13768791477019171</v>
      </c>
      <c r="L195" s="51"/>
    </row>
    <row r="196" spans="2:12" x14ac:dyDescent="0.25">
      <c r="B196" s="22"/>
      <c r="C196" s="40"/>
      <c r="D196" s="41" t="s">
        <v>55</v>
      </c>
      <c r="E196" s="101">
        <f t="shared" si="48"/>
        <v>5.4171790443293037</v>
      </c>
      <c r="F196" s="101">
        <f t="shared" si="48"/>
        <v>4.4508400617018022</v>
      </c>
      <c r="G196" s="101">
        <f t="shared" si="48"/>
        <v>5.585586474869209</v>
      </c>
      <c r="H196" s="101">
        <f t="shared" si="48"/>
        <v>6.340078572704102</v>
      </c>
      <c r="I196" s="101">
        <f t="shared" si="48"/>
        <v>5.7295922738424396</v>
      </c>
      <c r="J196" s="93">
        <f t="shared" si="38"/>
        <v>-9.6290020992797265E-2</v>
      </c>
      <c r="K196" s="101">
        <f t="shared" si="49"/>
        <v>-0.61048629886166239</v>
      </c>
      <c r="L196" s="73"/>
    </row>
    <row r="197" spans="2:12" x14ac:dyDescent="0.25">
      <c r="B197" s="22"/>
      <c r="C197" s="53" t="s">
        <v>36</v>
      </c>
      <c r="D197" s="86" t="s">
        <v>45</v>
      </c>
      <c r="E197" s="88">
        <v>0.42151592636549812</v>
      </c>
      <c r="F197" s="88">
        <v>0.46071549284573426</v>
      </c>
      <c r="G197" s="88">
        <v>0.69548218463868861</v>
      </c>
      <c r="H197" s="88">
        <v>0.75317428421984389</v>
      </c>
      <c r="I197" s="88">
        <v>0.77369971345652855</v>
      </c>
      <c r="J197" s="88">
        <f t="shared" si="38"/>
        <v>2.725189861991284E-2</v>
      </c>
      <c r="K197" s="95">
        <f>(I197-H197)*100</f>
        <v>2.0525429236684656</v>
      </c>
      <c r="L197" s="88"/>
    </row>
    <row r="198" spans="2:12" x14ac:dyDescent="0.25">
      <c r="B198" s="22"/>
      <c r="C198" s="55"/>
      <c r="D198" s="18" t="s">
        <v>46</v>
      </c>
      <c r="E198" s="21">
        <v>0.49563348888170433</v>
      </c>
      <c r="F198" s="21">
        <v>0.53007392392769836</v>
      </c>
      <c r="G198" s="21">
        <v>0.78235212112064911</v>
      </c>
      <c r="H198" s="21">
        <v>0.81120905005064936</v>
      </c>
      <c r="I198" s="21">
        <v>0.81280076010742186</v>
      </c>
      <c r="J198" s="21">
        <f t="shared" si="38"/>
        <v>1.9621453393217081E-3</v>
      </c>
      <c r="K198" s="54">
        <f t="shared" ref="K198" si="50">(I198-H198)*100</f>
        <v>0.15917100567724995</v>
      </c>
      <c r="L198" s="21"/>
    </row>
    <row r="199" spans="2:12" x14ac:dyDescent="0.25">
      <c r="B199" s="22"/>
      <c r="C199" s="55"/>
      <c r="D199" s="24" t="s">
        <v>47</v>
      </c>
      <c r="E199" s="81">
        <v>0.41641203353334449</v>
      </c>
      <c r="F199" s="81">
        <v>0.38237984856351559</v>
      </c>
      <c r="G199" s="81">
        <v>0.63514820255836268</v>
      </c>
      <c r="H199" s="81">
        <v>0.71202240207954559</v>
      </c>
      <c r="I199" s="81">
        <v>0.72327549742346608</v>
      </c>
      <c r="J199" s="81">
        <f t="shared" si="38"/>
        <v>1.5804411927285544E-2</v>
      </c>
      <c r="K199" s="56">
        <f>(I199-H199)*100</f>
        <v>1.1253095343920494</v>
      </c>
      <c r="L199" s="81"/>
    </row>
    <row r="200" spans="2:12" x14ac:dyDescent="0.25">
      <c r="B200" s="22"/>
      <c r="C200" s="55"/>
      <c r="D200" s="24" t="s">
        <v>48</v>
      </c>
      <c r="E200" s="81">
        <v>0.42174668708366447</v>
      </c>
      <c r="F200" s="81">
        <v>0.40408330264719122</v>
      </c>
      <c r="G200" s="81">
        <v>0.53778304538949095</v>
      </c>
      <c r="H200" s="81">
        <v>0.55454348826086564</v>
      </c>
      <c r="I200" s="81">
        <v>0.59082327086406716</v>
      </c>
      <c r="J200" s="81">
        <f t="shared" si="38"/>
        <v>6.5422790766113792E-2</v>
      </c>
      <c r="K200" s="56">
        <f t="shared" ref="K200:K207" si="51">(I200-H200)*100</f>
        <v>3.6279782603201527</v>
      </c>
      <c r="L200" s="81"/>
    </row>
    <row r="201" spans="2:12" x14ac:dyDescent="0.25">
      <c r="B201" s="22"/>
      <c r="C201" s="55"/>
      <c r="D201" s="24" t="s">
        <v>49</v>
      </c>
      <c r="E201" s="81">
        <v>0.31148476369141237</v>
      </c>
      <c r="F201" s="81">
        <v>0.28621210694206145</v>
      </c>
      <c r="G201" s="81">
        <v>0.60938004840462912</v>
      </c>
      <c r="H201" s="81">
        <v>0.6452598187198163</v>
      </c>
      <c r="I201" s="81">
        <v>0.84038066713662607</v>
      </c>
      <c r="J201" s="81">
        <f t="shared" si="38"/>
        <v>0.30239113416968366</v>
      </c>
      <c r="K201" s="56">
        <f t="shared" si="51"/>
        <v>19.512084841680977</v>
      </c>
      <c r="L201" s="81"/>
    </row>
    <row r="202" spans="2:12" x14ac:dyDescent="0.25">
      <c r="B202" s="22"/>
      <c r="C202" s="55"/>
      <c r="D202" s="24" t="s">
        <v>50</v>
      </c>
      <c r="E202" s="81">
        <v>0.48948502261743165</v>
      </c>
      <c r="F202" s="81">
        <v>0.48615455783025679</v>
      </c>
      <c r="G202" s="81">
        <v>0.6493275173640638</v>
      </c>
      <c r="H202" s="81">
        <v>0.73071425433679682</v>
      </c>
      <c r="I202" s="81">
        <v>0.78531451498170857</v>
      </c>
      <c r="J202" s="81">
        <f t="shared" si="38"/>
        <v>7.4721767532053285E-2</v>
      </c>
      <c r="K202" s="56">
        <f t="shared" si="51"/>
        <v>5.4600260644911742</v>
      </c>
      <c r="L202" s="81"/>
    </row>
    <row r="203" spans="2:12" x14ac:dyDescent="0.25">
      <c r="B203" s="22"/>
      <c r="C203" s="55"/>
      <c r="D203" s="24" t="s">
        <v>51</v>
      </c>
      <c r="E203" s="81">
        <v>0.5147906295498732</v>
      </c>
      <c r="F203" s="81">
        <v>0.42945341263098274</v>
      </c>
      <c r="G203" s="81">
        <v>0.57741590694750078</v>
      </c>
      <c r="H203" s="81">
        <v>0.61259601883208059</v>
      </c>
      <c r="I203" s="81">
        <v>0.6183064169082243</v>
      </c>
      <c r="J203" s="81">
        <f t="shared" si="38"/>
        <v>9.3216375892071213E-3</v>
      </c>
      <c r="K203" s="56">
        <f t="shared" si="51"/>
        <v>0.57103980761437079</v>
      </c>
      <c r="L203" s="81"/>
    </row>
    <row r="204" spans="2:12" x14ac:dyDescent="0.25">
      <c r="B204" s="22"/>
      <c r="C204" s="55"/>
      <c r="D204" s="24" t="s">
        <v>52</v>
      </c>
      <c r="E204" s="81">
        <v>0.60407891607923314</v>
      </c>
      <c r="F204" s="81">
        <v>0.70336128458075009</v>
      </c>
      <c r="G204" s="81">
        <v>0.8015089072176752</v>
      </c>
      <c r="H204" s="81">
        <v>0.82779844332469787</v>
      </c>
      <c r="I204" s="81">
        <v>0.82775664662909765</v>
      </c>
      <c r="J204" s="81">
        <f t="shared" si="38"/>
        <v>-5.0491391880846948E-5</v>
      </c>
      <c r="K204" s="56">
        <f t="shared" si="51"/>
        <v>-4.1796695600226919E-3</v>
      </c>
      <c r="L204" s="81"/>
    </row>
    <row r="205" spans="2:12" x14ac:dyDescent="0.25">
      <c r="B205" s="22"/>
      <c r="C205" s="55"/>
      <c r="D205" s="24" t="s">
        <v>53</v>
      </c>
      <c r="E205" s="81">
        <v>0.43917828766012645</v>
      </c>
      <c r="F205" s="81">
        <v>0.43287194104141685</v>
      </c>
      <c r="G205" s="81">
        <v>0.55540181632567553</v>
      </c>
      <c r="H205" s="81">
        <v>0.56942335787332776</v>
      </c>
      <c r="I205" s="81">
        <v>0.58812285219043858</v>
      </c>
      <c r="J205" s="81">
        <f t="shared" si="38"/>
        <v>3.283935240547442E-2</v>
      </c>
      <c r="K205" s="56">
        <f t="shared" si="51"/>
        <v>1.8699494317110821</v>
      </c>
      <c r="L205" s="81"/>
    </row>
    <row r="206" spans="2:12" x14ac:dyDescent="0.25">
      <c r="B206" s="22"/>
      <c r="C206" s="55"/>
      <c r="D206" s="24" t="s">
        <v>54</v>
      </c>
      <c r="E206" s="81">
        <v>0.49125694136118242</v>
      </c>
      <c r="F206" s="81">
        <v>0.48201408869433904</v>
      </c>
      <c r="G206" s="81">
        <v>0.74892677369097149</v>
      </c>
      <c r="H206" s="81">
        <v>0.81331329152256404</v>
      </c>
      <c r="I206" s="81">
        <v>0.84524916570756325</v>
      </c>
      <c r="J206" s="81">
        <f t="shared" si="38"/>
        <v>3.9266386665357089E-2</v>
      </c>
      <c r="K206" s="56">
        <f t="shared" si="51"/>
        <v>3.1935874184999213</v>
      </c>
      <c r="L206" s="27"/>
    </row>
    <row r="207" spans="2:12" x14ac:dyDescent="0.25">
      <c r="B207" s="22"/>
      <c r="C207" s="57"/>
      <c r="D207" s="29" t="s">
        <v>55</v>
      </c>
      <c r="E207" s="81">
        <v>0.36139382757206262</v>
      </c>
      <c r="F207" s="81">
        <v>0.30640431884692987</v>
      </c>
      <c r="G207" s="81">
        <v>0.53127749995092166</v>
      </c>
      <c r="H207" s="81">
        <v>0.69652045193105128</v>
      </c>
      <c r="I207" s="81">
        <v>0.64923634412435949</v>
      </c>
      <c r="J207" s="81">
        <f t="shared" si="38"/>
        <v>-6.7886172869152772E-2</v>
      </c>
      <c r="K207" s="56">
        <f t="shared" si="51"/>
        <v>-4.7284107806691793</v>
      </c>
      <c r="L207" s="58"/>
    </row>
    <row r="208" spans="2:12" x14ac:dyDescent="0.25">
      <c r="B208" s="22"/>
      <c r="C208" s="59" t="s">
        <v>59</v>
      </c>
      <c r="D208" s="86" t="s">
        <v>45</v>
      </c>
      <c r="E208" s="87">
        <v>66601</v>
      </c>
      <c r="F208" s="87">
        <v>82456</v>
      </c>
      <c r="G208" s="87">
        <v>123696</v>
      </c>
      <c r="H208" s="87">
        <v>125536.00000000001</v>
      </c>
      <c r="I208" s="87">
        <v>127400</v>
      </c>
      <c r="J208" s="88">
        <f t="shared" si="38"/>
        <v>1.4848330359418682E-2</v>
      </c>
      <c r="K208" s="87">
        <f t="shared" ref="K208:K209" si="52">I208-H208</f>
        <v>1863.9999999999854</v>
      </c>
      <c r="L208" s="88">
        <f t="shared" ref="L208:L218" si="53">I208/$I$208</f>
        <v>1</v>
      </c>
    </row>
    <row r="209" spans="2:12" x14ac:dyDescent="0.25">
      <c r="B209" s="22"/>
      <c r="C209" s="36"/>
      <c r="D209" s="33" t="s">
        <v>46</v>
      </c>
      <c r="E209" s="34">
        <v>23742</v>
      </c>
      <c r="F209" s="34">
        <v>29697.000000000004</v>
      </c>
      <c r="G209" s="34">
        <v>44233</v>
      </c>
      <c r="H209" s="34">
        <v>45902</v>
      </c>
      <c r="I209" s="34">
        <v>46521.000000000007</v>
      </c>
      <c r="J209" s="45">
        <f t="shared" si="38"/>
        <v>1.3485251187312253E-2</v>
      </c>
      <c r="K209" s="34">
        <f t="shared" si="52"/>
        <v>619.00000000000728</v>
      </c>
      <c r="L209" s="47">
        <f t="shared" si="53"/>
        <v>0.36515698587127166</v>
      </c>
    </row>
    <row r="210" spans="2:12" x14ac:dyDescent="0.25">
      <c r="B210" s="22"/>
      <c r="C210" s="36"/>
      <c r="D210" s="4" t="s">
        <v>47</v>
      </c>
      <c r="E210" s="37">
        <v>20336</v>
      </c>
      <c r="F210" s="37">
        <v>24064</v>
      </c>
      <c r="G210" s="37">
        <v>38225</v>
      </c>
      <c r="H210" s="37">
        <v>37475</v>
      </c>
      <c r="I210" s="37">
        <v>37833</v>
      </c>
      <c r="J210" s="97">
        <f t="shared" si="38"/>
        <v>9.55303535690466E-3</v>
      </c>
      <c r="K210" s="37">
        <f>I210-H210</f>
        <v>358</v>
      </c>
      <c r="L210" s="98">
        <f t="shared" si="53"/>
        <v>0.29696232339089484</v>
      </c>
    </row>
    <row r="211" spans="2:12" x14ac:dyDescent="0.25">
      <c r="B211" s="22"/>
      <c r="C211" s="36"/>
      <c r="D211" s="4" t="s">
        <v>48</v>
      </c>
      <c r="E211" s="37">
        <v>437</v>
      </c>
      <c r="F211" s="37">
        <v>669</v>
      </c>
      <c r="G211" s="37">
        <v>857</v>
      </c>
      <c r="H211" s="37">
        <v>900</v>
      </c>
      <c r="I211" s="37">
        <v>900</v>
      </c>
      <c r="J211" s="97">
        <f t="shared" si="38"/>
        <v>0</v>
      </c>
      <c r="K211" s="37">
        <f t="shared" ref="K211:K218" si="54">I211-H211</f>
        <v>0</v>
      </c>
      <c r="L211" s="98">
        <f t="shared" si="53"/>
        <v>7.0643642072213504E-3</v>
      </c>
    </row>
    <row r="212" spans="2:12" x14ac:dyDescent="0.25">
      <c r="B212" s="22"/>
      <c r="C212" s="36"/>
      <c r="D212" s="4" t="s">
        <v>49</v>
      </c>
      <c r="E212" s="37">
        <v>2900</v>
      </c>
      <c r="F212" s="37">
        <v>4012</v>
      </c>
      <c r="G212" s="37">
        <v>4562</v>
      </c>
      <c r="H212" s="37">
        <v>4395</v>
      </c>
      <c r="I212" s="37">
        <v>4427</v>
      </c>
      <c r="J212" s="97">
        <f t="shared" si="38"/>
        <v>7.2810011376565065E-3</v>
      </c>
      <c r="K212" s="37">
        <f t="shared" si="54"/>
        <v>32</v>
      </c>
      <c r="L212" s="98">
        <f t="shared" si="53"/>
        <v>3.4748822605965464E-2</v>
      </c>
    </row>
    <row r="213" spans="2:12" x14ac:dyDescent="0.25">
      <c r="B213" s="22"/>
      <c r="C213" s="36"/>
      <c r="D213" s="4" t="s">
        <v>50</v>
      </c>
      <c r="E213" s="37">
        <v>9244</v>
      </c>
      <c r="F213" s="37">
        <v>11050</v>
      </c>
      <c r="G213" s="37">
        <v>18364</v>
      </c>
      <c r="H213" s="37">
        <v>19209</v>
      </c>
      <c r="I213" s="37">
        <v>20011</v>
      </c>
      <c r="J213" s="97">
        <f t="shared" si="38"/>
        <v>4.175126242906968E-2</v>
      </c>
      <c r="K213" s="37">
        <f t="shared" si="54"/>
        <v>802</v>
      </c>
      <c r="L213" s="98">
        <f t="shared" si="53"/>
        <v>0.15707221350078493</v>
      </c>
    </row>
    <row r="214" spans="2:12" x14ac:dyDescent="0.25">
      <c r="B214" s="22"/>
      <c r="C214" s="36"/>
      <c r="D214" s="4" t="s">
        <v>51</v>
      </c>
      <c r="E214" s="37">
        <v>339</v>
      </c>
      <c r="F214" s="37">
        <v>532</v>
      </c>
      <c r="G214" s="37">
        <v>654</v>
      </c>
      <c r="H214" s="37">
        <v>663</v>
      </c>
      <c r="I214" s="37">
        <v>673</v>
      </c>
      <c r="J214" s="97">
        <f t="shared" si="38"/>
        <v>1.5082956259426794E-2</v>
      </c>
      <c r="K214" s="37">
        <f t="shared" si="54"/>
        <v>10</v>
      </c>
      <c r="L214" s="98">
        <f t="shared" si="53"/>
        <v>5.2825745682888543E-3</v>
      </c>
    </row>
    <row r="215" spans="2:12" x14ac:dyDescent="0.25">
      <c r="B215" s="22"/>
      <c r="C215" s="36"/>
      <c r="D215" s="4" t="s">
        <v>52</v>
      </c>
      <c r="E215" s="37">
        <v>2132</v>
      </c>
      <c r="F215" s="37">
        <v>2908</v>
      </c>
      <c r="G215" s="37">
        <v>4497</v>
      </c>
      <c r="H215" s="37">
        <v>4790.0000000000009</v>
      </c>
      <c r="I215" s="37">
        <v>4797</v>
      </c>
      <c r="J215" s="97">
        <f t="shared" si="38"/>
        <v>1.4613778705634406E-3</v>
      </c>
      <c r="K215" s="37">
        <f t="shared" si="54"/>
        <v>6.9999999999990905</v>
      </c>
      <c r="L215" s="98">
        <f t="shared" si="53"/>
        <v>3.7653061224489796E-2</v>
      </c>
    </row>
    <row r="216" spans="2:12" x14ac:dyDescent="0.25">
      <c r="B216" s="22"/>
      <c r="C216" s="36"/>
      <c r="D216" s="4" t="s">
        <v>53</v>
      </c>
      <c r="E216" s="37">
        <v>1526</v>
      </c>
      <c r="F216" s="37">
        <v>2270</v>
      </c>
      <c r="G216" s="37">
        <v>2680</v>
      </c>
      <c r="H216" s="37">
        <v>2774</v>
      </c>
      <c r="I216" s="37">
        <v>2714</v>
      </c>
      <c r="J216" s="97">
        <f t="shared" si="38"/>
        <v>-2.1629416005767843E-2</v>
      </c>
      <c r="K216" s="37">
        <f t="shared" si="54"/>
        <v>-60</v>
      </c>
      <c r="L216" s="98">
        <f t="shared" si="53"/>
        <v>2.1302982731554159E-2</v>
      </c>
    </row>
    <row r="217" spans="2:12" x14ac:dyDescent="0.25">
      <c r="B217" s="22"/>
      <c r="C217" s="36"/>
      <c r="D217" s="4" t="s">
        <v>54</v>
      </c>
      <c r="E217" s="37">
        <v>3786</v>
      </c>
      <c r="F217" s="37">
        <v>4393</v>
      </c>
      <c r="G217" s="37">
        <v>6413</v>
      </c>
      <c r="H217" s="37">
        <v>6356</v>
      </c>
      <c r="I217" s="37">
        <v>6429</v>
      </c>
      <c r="J217" s="49">
        <f t="shared" si="38"/>
        <v>1.1485210824417891E-2</v>
      </c>
      <c r="K217" s="37">
        <f t="shared" si="54"/>
        <v>73</v>
      </c>
      <c r="L217" s="51">
        <f t="shared" si="53"/>
        <v>5.0463108320251179E-2</v>
      </c>
    </row>
    <row r="218" spans="2:12" x14ac:dyDescent="0.25">
      <c r="B218" s="61"/>
      <c r="C218" s="40"/>
      <c r="D218" s="41" t="s">
        <v>55</v>
      </c>
      <c r="E218" s="92">
        <v>2158</v>
      </c>
      <c r="F218" s="92">
        <v>2862</v>
      </c>
      <c r="G218" s="92">
        <v>3212</v>
      </c>
      <c r="H218" s="92">
        <v>3072</v>
      </c>
      <c r="I218" s="92">
        <v>3096</v>
      </c>
      <c r="J218" s="83">
        <f t="shared" si="38"/>
        <v>7.8125E-3</v>
      </c>
      <c r="K218" s="92">
        <f t="shared" si="54"/>
        <v>24</v>
      </c>
      <c r="L218" s="73">
        <f t="shared" si="53"/>
        <v>2.4301412872841443E-2</v>
      </c>
    </row>
    <row r="219" spans="2:12" x14ac:dyDescent="0.25"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4"/>
    </row>
    <row r="220" spans="2:12" x14ac:dyDescent="0.25">
      <c r="B220" s="66" t="s">
        <v>57</v>
      </c>
      <c r="C220" s="66"/>
      <c r="D220" s="66"/>
      <c r="E220" s="66"/>
      <c r="F220" s="66"/>
      <c r="G220" s="66"/>
      <c r="H220" s="66"/>
      <c r="I220" s="66"/>
      <c r="J220" s="66"/>
      <c r="K220" s="66"/>
    </row>
  </sheetData>
  <mergeCells count="30">
    <mergeCell ref="B219:K219"/>
    <mergeCell ref="B220:K220"/>
    <mergeCell ref="B146:K146"/>
    <mergeCell ref="B147:K147"/>
    <mergeCell ref="B150:K150"/>
    <mergeCell ref="B153:B218"/>
    <mergeCell ref="C153:C163"/>
    <mergeCell ref="C164:C174"/>
    <mergeCell ref="C175:C185"/>
    <mergeCell ref="C186:C196"/>
    <mergeCell ref="C197:C207"/>
    <mergeCell ref="C208:C218"/>
    <mergeCell ref="B73:K73"/>
    <mergeCell ref="B74:K74"/>
    <mergeCell ref="B77:K77"/>
    <mergeCell ref="B80:B145"/>
    <mergeCell ref="C80:C90"/>
    <mergeCell ref="C91:C101"/>
    <mergeCell ref="C102:C112"/>
    <mergeCell ref="C113:C123"/>
    <mergeCell ref="C124:C134"/>
    <mergeCell ref="C135:C145"/>
    <mergeCell ref="D1:L2"/>
    <mergeCell ref="B7:B72"/>
    <mergeCell ref="C7:C17"/>
    <mergeCell ref="C18:C28"/>
    <mergeCell ref="C29:C39"/>
    <mergeCell ref="C40:C50"/>
    <mergeCell ref="C51:C61"/>
    <mergeCell ref="C62:C72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15142-D8A6-423B-B2BB-5794DAB50C92}">
  <sheetPr>
    <tabColor theme="4" tint="0.79998168889431442"/>
  </sheetPr>
  <dimension ref="A1:O290"/>
  <sheetViews>
    <sheetView showGridLines="0" topLeftCell="F1" zoomScaleNormal="100" workbookViewId="0">
      <selection activeCell="D5" sqref="D5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1" spans="1:15" x14ac:dyDescent="0.25">
      <c r="D1" t="s">
        <v>233</v>
      </c>
      <c r="E1" t="s">
        <v>233</v>
      </c>
      <c r="G1" t="s">
        <v>233</v>
      </c>
    </row>
    <row r="4" spans="1:15" ht="48.75" customHeight="1" thickBot="1" x14ac:dyDescent="0.3">
      <c r="B4" s="12" t="s">
        <v>292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70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CONCATENATE("dif ",RIGHT(C7,2),"/",RIGHT(C7-1,2))</f>
        <v>dif 20/19</v>
      </c>
      <c r="E8" s="144" t="s">
        <v>71</v>
      </c>
      <c r="F8" s="143" t="str">
        <f>CONCATENATE("dif ",RIGHT(E7,2),"/",RIGHT(C7,2))</f>
        <v>dif 21/20</v>
      </c>
      <c r="G8" s="144" t="s">
        <v>71</v>
      </c>
      <c r="H8" s="143" t="str">
        <f>CONCATENATE("dif ",RIGHT(G7,2),"/",RIGHT(E7,2))</f>
        <v>dif 22/21</v>
      </c>
      <c r="I8" s="144" t="s">
        <v>71</v>
      </c>
      <c r="J8" s="143" t="str">
        <f>CONCATENATE("dif ",RIGHT(I7,2),"/",RIGHT(G7,2))</f>
        <v>dif 23/22</v>
      </c>
      <c r="K8" s="144" t="s">
        <v>71</v>
      </c>
      <c r="L8" s="143" t="str">
        <f>CONCATENATE("dif ",RIGHT(K7,2),"/",RIGHT(I7,2))</f>
        <v>dif 24/23</v>
      </c>
      <c r="M8" s="144" t="s">
        <v>71</v>
      </c>
      <c r="N8" s="143" t="str">
        <f>CONCATENATE("dif ",RIGHT(M7,2),"/",RIGHT(K7,2))</f>
        <v>dif 25/24</v>
      </c>
    </row>
    <row r="9" spans="1:15" x14ac:dyDescent="0.25">
      <c r="A9" s="1" t="s">
        <v>72</v>
      </c>
      <c r="B9" s="145" t="s">
        <v>73</v>
      </c>
      <c r="C9" s="220">
        <v>2.6174716182412929</v>
      </c>
      <c r="D9" s="221">
        <v>-1.8024564964814083E-2</v>
      </c>
      <c r="E9" s="220">
        <v>2.4109947643979059</v>
      </c>
      <c r="F9" s="221">
        <f t="shared" ref="F9:J21" si="0">IFERROR(E9-C9,"-")</f>
        <v>-0.20647685384338699</v>
      </c>
      <c r="G9" s="220">
        <v>3.2322086759285513</v>
      </c>
      <c r="H9" s="221">
        <f t="shared" si="0"/>
        <v>0.82121391153064538</v>
      </c>
      <c r="I9" s="220">
        <v>2.6628942486085343</v>
      </c>
      <c r="J9" s="221">
        <f t="shared" si="0"/>
        <v>-0.56931442732001702</v>
      </c>
      <c r="K9" s="220">
        <v>2.7949012842629863</v>
      </c>
      <c r="L9" s="221">
        <f t="shared" ref="L9:L21" si="1">IFERROR(K9-I9,"-")</f>
        <v>0.13200703565445204</v>
      </c>
      <c r="M9" s="220">
        <v>2.6840519676143852</v>
      </c>
      <c r="N9" s="221">
        <f t="shared" ref="N9:N18" si="2">IFERROR(M9-K9,"-")</f>
        <v>-0.11084931664860109</v>
      </c>
    </row>
    <row r="10" spans="1:15" x14ac:dyDescent="0.25">
      <c r="A10" s="1" t="s">
        <v>74</v>
      </c>
      <c r="B10" s="145" t="s">
        <v>75</v>
      </c>
      <c r="C10" s="220">
        <v>2.6762455682030231</v>
      </c>
      <c r="D10" s="221">
        <v>-4.9792932303562409E-2</v>
      </c>
      <c r="E10" s="220">
        <v>2.2361010830324908</v>
      </c>
      <c r="F10" s="221">
        <f t="shared" si="0"/>
        <v>-0.44014448517053228</v>
      </c>
      <c r="G10" s="220">
        <v>2.7251615992338998</v>
      </c>
      <c r="H10" s="221">
        <f t="shared" si="0"/>
        <v>0.489060516201409</v>
      </c>
      <c r="I10" s="220">
        <v>2.7041745730550284</v>
      </c>
      <c r="J10" s="221">
        <f t="shared" si="0"/>
        <v>-2.0987026178871382E-2</v>
      </c>
      <c r="K10" s="220">
        <v>3.1517801374141161</v>
      </c>
      <c r="L10" s="221">
        <f t="shared" si="1"/>
        <v>0.44760556435908772</v>
      </c>
      <c r="M10" s="220">
        <v>3.1261325703385787</v>
      </c>
      <c r="N10" s="221">
        <f t="shared" si="2"/>
        <v>-2.5647567075537392E-2</v>
      </c>
    </row>
    <row r="11" spans="1:15" x14ac:dyDescent="0.25">
      <c r="A11" s="1" t="s">
        <v>76</v>
      </c>
      <c r="B11" s="145" t="s">
        <v>77</v>
      </c>
      <c r="C11" s="220">
        <v>2.599636032757052</v>
      </c>
      <c r="D11" s="221">
        <v>-0.10626917314815376</v>
      </c>
      <c r="E11" s="220">
        <v>2.167395104895105</v>
      </c>
      <c r="F11" s="221">
        <f t="shared" si="0"/>
        <v>-0.43224092786194701</v>
      </c>
      <c r="G11" s="220">
        <v>2.6814345991561179</v>
      </c>
      <c r="H11" s="221">
        <f t="shared" si="0"/>
        <v>0.51403949426101292</v>
      </c>
      <c r="I11" s="220">
        <v>2.7572009188902631</v>
      </c>
      <c r="J11" s="221">
        <f t="shared" si="0"/>
        <v>7.576631973414516E-2</v>
      </c>
      <c r="K11" s="220">
        <v>2.9589783281733748</v>
      </c>
      <c r="L11" s="221">
        <f t="shared" si="1"/>
        <v>0.20177740928311172</v>
      </c>
      <c r="M11" s="220">
        <v>2.6383377012354923</v>
      </c>
      <c r="N11" s="221">
        <f t="shared" si="2"/>
        <v>-0.32064062693788253</v>
      </c>
    </row>
    <row r="12" spans="1:15" x14ac:dyDescent="0.25">
      <c r="A12" s="1" t="s">
        <v>78</v>
      </c>
      <c r="B12" s="145" t="s">
        <v>79</v>
      </c>
      <c r="C12" s="220" t="s">
        <v>233</v>
      </c>
      <c r="D12" s="221" t="s">
        <v>233</v>
      </c>
      <c r="E12" s="220">
        <v>2.2338797814207649</v>
      </c>
      <c r="F12" s="221" t="str">
        <f t="shared" si="0"/>
        <v>-</v>
      </c>
      <c r="G12" s="220">
        <v>2.9921472392638035</v>
      </c>
      <c r="H12" s="221">
        <f t="shared" si="0"/>
        <v>0.75826745784303862</v>
      </c>
      <c r="I12" s="220">
        <v>2.4570599613152804</v>
      </c>
      <c r="J12" s="221">
        <f t="shared" si="0"/>
        <v>-0.53508727794852318</v>
      </c>
      <c r="K12" s="220">
        <v>2.6590819153146024</v>
      </c>
      <c r="L12" s="221">
        <f t="shared" si="1"/>
        <v>0.20202195399932199</v>
      </c>
      <c r="M12" s="220">
        <v>2.7806406685236769</v>
      </c>
      <c r="N12" s="221">
        <f t="shared" si="2"/>
        <v>0.1215587532090745</v>
      </c>
    </row>
    <row r="13" spans="1:15" x14ac:dyDescent="0.25">
      <c r="A13" s="1" t="s">
        <v>80</v>
      </c>
      <c r="B13" s="145" t="s">
        <v>81</v>
      </c>
      <c r="C13" s="220" t="s">
        <v>233</v>
      </c>
      <c r="D13" s="221" t="s">
        <v>233</v>
      </c>
      <c r="E13" s="220">
        <v>2.1226024821361413</v>
      </c>
      <c r="F13" s="221" t="str">
        <f t="shared" si="0"/>
        <v>-</v>
      </c>
      <c r="G13" s="220">
        <v>2.77670704845815</v>
      </c>
      <c r="H13" s="221">
        <f t="shared" si="0"/>
        <v>0.65410456632200864</v>
      </c>
      <c r="I13" s="220">
        <v>2.5519648912826649</v>
      </c>
      <c r="J13" s="221">
        <f t="shared" si="0"/>
        <v>-0.22474215717548507</v>
      </c>
      <c r="K13" s="220">
        <v>2.5066105769230771</v>
      </c>
      <c r="L13" s="221">
        <f t="shared" si="1"/>
        <v>-4.5354314359587811E-2</v>
      </c>
      <c r="M13" s="220">
        <v>2.6832733093237295</v>
      </c>
      <c r="N13" s="221">
        <f t="shared" si="2"/>
        <v>0.17666273240065244</v>
      </c>
    </row>
    <row r="14" spans="1:15" x14ac:dyDescent="0.25">
      <c r="A14" s="1" t="s">
        <v>82</v>
      </c>
      <c r="B14" s="145" t="s">
        <v>83</v>
      </c>
      <c r="C14" s="220" t="s">
        <v>233</v>
      </c>
      <c r="D14" s="221" t="s">
        <v>233</v>
      </c>
      <c r="E14" s="220">
        <v>2.2000801924619084</v>
      </c>
      <c r="F14" s="221" t="str">
        <f t="shared" si="0"/>
        <v>-</v>
      </c>
      <c r="G14" s="220">
        <v>2.4949115044247789</v>
      </c>
      <c r="H14" s="221">
        <f t="shared" si="0"/>
        <v>0.29483131196287049</v>
      </c>
      <c r="I14" s="220">
        <v>2.4809854101889499</v>
      </c>
      <c r="J14" s="221">
        <f t="shared" si="0"/>
        <v>-1.3926094235829023E-2</v>
      </c>
      <c r="K14" s="220">
        <v>2.5517154389505552</v>
      </c>
      <c r="L14" s="221">
        <f t="shared" si="1"/>
        <v>7.0730028761605279E-2</v>
      </c>
      <c r="M14" s="220">
        <v>2.8302986161689732</v>
      </c>
      <c r="N14" s="221">
        <f t="shared" si="2"/>
        <v>0.27858317721841797</v>
      </c>
    </row>
    <row r="15" spans="1:15" x14ac:dyDescent="0.25">
      <c r="A15" s="1" t="s">
        <v>84</v>
      </c>
      <c r="B15" s="145" t="s">
        <v>85</v>
      </c>
      <c r="C15" s="220" t="s">
        <v>233</v>
      </c>
      <c r="D15" s="221" t="s">
        <v>233</v>
      </c>
      <c r="E15" s="220">
        <v>2.3360790774299836</v>
      </c>
      <c r="F15" s="221" t="str">
        <f t="shared" si="0"/>
        <v>-</v>
      </c>
      <c r="G15" s="220">
        <v>2.5052631578947366</v>
      </c>
      <c r="H15" s="221">
        <f t="shared" si="0"/>
        <v>0.16918408046475308</v>
      </c>
      <c r="I15" s="220">
        <v>2.2105990783410139</v>
      </c>
      <c r="J15" s="221">
        <f t="shared" si="0"/>
        <v>-0.29466407955372276</v>
      </c>
      <c r="K15" s="220">
        <v>2.2077073807968648</v>
      </c>
      <c r="L15" s="221">
        <f t="shared" si="1"/>
        <v>-2.8916975441490855E-3</v>
      </c>
      <c r="M15" s="220">
        <v>2.7481440747869121</v>
      </c>
      <c r="N15" s="221">
        <f t="shared" si="2"/>
        <v>0.54043669399004735</v>
      </c>
    </row>
    <row r="16" spans="1:15" x14ac:dyDescent="0.25">
      <c r="A16" s="1" t="s">
        <v>86</v>
      </c>
      <c r="B16" s="145" t="s">
        <v>87</v>
      </c>
      <c r="C16" s="220">
        <v>2.499459848757652</v>
      </c>
      <c r="D16" s="221">
        <v>0.32659695508017172</v>
      </c>
      <c r="E16" s="220">
        <v>2.9317173096620008</v>
      </c>
      <c r="F16" s="221">
        <f t="shared" si="0"/>
        <v>0.4322574609043488</v>
      </c>
      <c r="G16" s="220">
        <v>2.6119023397761953</v>
      </c>
      <c r="H16" s="221">
        <f t="shared" si="0"/>
        <v>-0.31981496988580549</v>
      </c>
      <c r="I16" s="220">
        <v>2.5556512378902045</v>
      </c>
      <c r="J16" s="221">
        <f t="shared" si="0"/>
        <v>-5.6251101885990806E-2</v>
      </c>
      <c r="K16" s="220">
        <v>3.1938599517074855</v>
      </c>
      <c r="L16" s="221">
        <f t="shared" si="1"/>
        <v>0.63820871381728095</v>
      </c>
      <c r="M16" s="220">
        <v>2.856691765848919</v>
      </c>
      <c r="N16" s="221">
        <f t="shared" si="2"/>
        <v>-0.33716818585856645</v>
      </c>
    </row>
    <row r="17" spans="1:15" x14ac:dyDescent="0.25">
      <c r="A17" s="1" t="s">
        <v>88</v>
      </c>
      <c r="B17" s="145" t="s">
        <v>89</v>
      </c>
      <c r="C17" s="220">
        <v>2.135487528344671</v>
      </c>
      <c r="D17" s="221">
        <v>4.8655716089129886E-2</v>
      </c>
      <c r="E17" s="220">
        <v>2.452733776188043</v>
      </c>
      <c r="F17" s="221">
        <f t="shared" si="0"/>
        <v>0.31724624784337196</v>
      </c>
      <c r="G17" s="220">
        <v>2.3955875928352994</v>
      </c>
      <c r="H17" s="221">
        <f t="shared" si="0"/>
        <v>-5.7146183352743574E-2</v>
      </c>
      <c r="I17" s="220">
        <v>2.3459411634594116</v>
      </c>
      <c r="J17" s="221">
        <f t="shared" si="0"/>
        <v>-4.9646429375887813E-2</v>
      </c>
      <c r="K17" s="220">
        <v>2.2301946137212503</v>
      </c>
      <c r="L17" s="221">
        <f t="shared" si="1"/>
        <v>-0.11574654973816134</v>
      </c>
      <c r="M17" s="220">
        <v>2.4850695235924323</v>
      </c>
      <c r="N17" s="221">
        <f t="shared" si="2"/>
        <v>0.254874909871182</v>
      </c>
    </row>
    <row r="18" spans="1:15" x14ac:dyDescent="0.25">
      <c r="A18" s="1" t="s">
        <v>90</v>
      </c>
      <c r="B18" s="145" t="s">
        <v>91</v>
      </c>
      <c r="C18" s="220">
        <v>2.0425170068027212</v>
      </c>
      <c r="D18" s="221">
        <v>-0.23159032695823667</v>
      </c>
      <c r="E18" s="220">
        <v>2.9937869822485208</v>
      </c>
      <c r="F18" s="221">
        <f t="shared" si="0"/>
        <v>0.95126997544579961</v>
      </c>
      <c r="G18" s="220">
        <v>2.8807453416149067</v>
      </c>
      <c r="H18" s="221">
        <f t="shared" si="0"/>
        <v>-0.1130416406336141</v>
      </c>
      <c r="I18" s="220">
        <v>2.5134645847476804</v>
      </c>
      <c r="J18" s="221">
        <f t="shared" si="0"/>
        <v>-0.36728075686722628</v>
      </c>
      <c r="K18" s="220">
        <v>2.4775360845700347</v>
      </c>
      <c r="L18" s="221">
        <f t="shared" si="1"/>
        <v>-3.5928500177645706E-2</v>
      </c>
      <c r="M18" s="220">
        <v>2.4095158597662771</v>
      </c>
      <c r="N18" s="221">
        <f t="shared" si="2"/>
        <v>-6.8020224803757579E-2</v>
      </c>
    </row>
    <row r="19" spans="1:15" x14ac:dyDescent="0.25">
      <c r="A19" s="1" t="s">
        <v>92</v>
      </c>
      <c r="B19" s="145" t="s">
        <v>93</v>
      </c>
      <c r="C19" s="220">
        <v>2.0164492342597846</v>
      </c>
      <c r="D19" s="221">
        <v>-0.33604246009237482</v>
      </c>
      <c r="E19" s="220">
        <v>2.7396582733812949</v>
      </c>
      <c r="F19" s="221">
        <f t="shared" si="0"/>
        <v>0.72320903912151024</v>
      </c>
      <c r="G19" s="220">
        <v>2.6980157089706491</v>
      </c>
      <c r="H19" s="221">
        <f t="shared" si="0"/>
        <v>-4.1642564410645733E-2</v>
      </c>
      <c r="I19" s="220">
        <v>2.6623690572119258</v>
      </c>
      <c r="J19" s="221">
        <f t="shared" si="0"/>
        <v>-3.564665175872328E-2</v>
      </c>
      <c r="K19" s="220">
        <v>2.7401171303074672</v>
      </c>
      <c r="L19" s="221">
        <f t="shared" si="1"/>
        <v>7.7748073095541326E-2</v>
      </c>
      <c r="M19" s="220"/>
      <c r="N19" s="221"/>
    </row>
    <row r="20" spans="1:15" x14ac:dyDescent="0.25">
      <c r="A20" s="1" t="s">
        <v>94</v>
      </c>
      <c r="B20" s="145" t="s">
        <v>95</v>
      </c>
      <c r="C20" s="220">
        <v>2.2569676700111483</v>
      </c>
      <c r="D20" s="221">
        <v>-7.0529686937881308E-4</v>
      </c>
      <c r="E20" s="220">
        <v>2.4653312788906008</v>
      </c>
      <c r="F20" s="221">
        <f t="shared" si="0"/>
        <v>0.20836360887945249</v>
      </c>
      <c r="G20" s="220">
        <v>2.3449477351916377</v>
      </c>
      <c r="H20" s="221">
        <f t="shared" si="0"/>
        <v>-0.12038354369896309</v>
      </c>
      <c r="I20" s="220">
        <v>2.587568157033806</v>
      </c>
      <c r="J20" s="221">
        <f t="shared" si="0"/>
        <v>0.24262042184216837</v>
      </c>
      <c r="K20" s="220">
        <v>2.5476281560826322</v>
      </c>
      <c r="L20" s="221">
        <f t="shared" si="1"/>
        <v>-3.9940000951173893E-2</v>
      </c>
      <c r="M20" s="220"/>
      <c r="N20" s="221"/>
    </row>
    <row r="21" spans="1:15" ht="15.75" x14ac:dyDescent="0.25">
      <c r="A21" s="1" t="s">
        <v>0</v>
      </c>
      <c r="B21" s="148" t="s">
        <v>32</v>
      </c>
      <c r="C21" s="222">
        <v>2.437843193922629</v>
      </c>
      <c r="D21" s="223">
        <v>2.1067972650881117E-3</v>
      </c>
      <c r="E21" s="222">
        <v>2.4937806482478173</v>
      </c>
      <c r="F21" s="223">
        <f t="shared" si="0"/>
        <v>5.5937454325188263E-2</v>
      </c>
      <c r="G21" s="222">
        <v>2.6756725259784404</v>
      </c>
      <c r="H21" s="223">
        <f t="shared" si="0"/>
        <v>0.1818918777306231</v>
      </c>
      <c r="I21" s="222">
        <v>2.5505786061867015</v>
      </c>
      <c r="J21" s="223">
        <f t="shared" si="0"/>
        <v>-0.12509391979173889</v>
      </c>
      <c r="K21" s="222">
        <v>2.6538649194953647</v>
      </c>
      <c r="L21" s="223">
        <f t="shared" si="1"/>
        <v>0.10328631330866322</v>
      </c>
      <c r="M21" s="222">
        <v>2.7066999978449671</v>
      </c>
      <c r="N21" s="223">
        <v>5.1033559606145751E-2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E24" s="151"/>
      <c r="G24" s="151"/>
      <c r="I24" s="151"/>
      <c r="K24" s="151"/>
      <c r="N24" s="103"/>
    </row>
    <row r="26" spans="1:15" ht="59.25" customHeight="1" thickBot="1" x14ac:dyDescent="0.3">
      <c r="B26" s="12" t="s">
        <v>293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99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v>2020</v>
      </c>
      <c r="D29" s="139"/>
      <c r="E29" s="140">
        <v>2021</v>
      </c>
      <c r="F29" s="139"/>
      <c r="G29" s="140">
        <v>2022</v>
      </c>
      <c r="H29" s="139"/>
      <c r="I29" s="140">
        <v>2023</v>
      </c>
      <c r="J29" s="139"/>
      <c r="K29" s="140">
        <v>2024</v>
      </c>
      <c r="L29" s="139"/>
      <c r="M29" s="140"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CONCATENATE("dif ",RIGHT(C29,2),"/",RIGHT(C29-1,2))</f>
        <v>dif 20/19</v>
      </c>
      <c r="E30" s="144" t="s">
        <v>71</v>
      </c>
      <c r="F30" s="143" t="str">
        <f>CONCATENATE("dif ",RIGHT(E29,2),"/",RIGHT(C29,2))</f>
        <v>dif 21/20</v>
      </c>
      <c r="G30" s="144" t="s">
        <v>71</v>
      </c>
      <c r="H30" s="143" t="str">
        <f>CONCATENATE("dif ",RIGHT(G29,2),"/",RIGHT(E29,2))</f>
        <v>dif 22/21</v>
      </c>
      <c r="I30" s="144" t="s">
        <v>71</v>
      </c>
      <c r="J30" s="143" t="str">
        <f>CONCATENATE("dif ",RIGHT(I29,2),"/",RIGHT(G29,2))</f>
        <v>dif 23/22</v>
      </c>
      <c r="K30" s="144" t="s">
        <v>71</v>
      </c>
      <c r="L30" s="143" t="str">
        <f>CONCATENATE("dif ",RIGHT(K29,2),"/",RIGHT(I29,2))</f>
        <v>dif 24/23</v>
      </c>
      <c r="M30" s="144" t="s">
        <v>71</v>
      </c>
      <c r="N30" s="143" t="str">
        <f>CONCATENATE("dif ",RIGHT(M29,2),"/",RIGHT(K29,2))</f>
        <v>dif 25/24</v>
      </c>
    </row>
    <row r="31" spans="1:15" x14ac:dyDescent="0.25">
      <c r="B31" s="145" t="s">
        <v>73</v>
      </c>
      <c r="C31" s="220">
        <v>1.9042170644001308</v>
      </c>
      <c r="D31" s="221">
        <v>-3.1457612124822898E-2</v>
      </c>
      <c r="E31" s="220">
        <v>1.9158075601374571</v>
      </c>
      <c r="F31" s="221">
        <f t="shared" ref="F31:J43" si="3">IFERROR(E31-C31,"-")</f>
        <v>1.159049573732629E-2</v>
      </c>
      <c r="G31" s="220">
        <v>2.7529610829103217</v>
      </c>
      <c r="H31" s="221">
        <f t="shared" si="3"/>
        <v>0.83715352277286459</v>
      </c>
      <c r="I31" s="220">
        <v>1.8540433925049309</v>
      </c>
      <c r="J31" s="221">
        <f t="shared" si="3"/>
        <v>-0.89891769040539082</v>
      </c>
      <c r="K31" s="220">
        <v>1.7593017914561322</v>
      </c>
      <c r="L31" s="221">
        <f t="shared" ref="L31:N43" si="4">IFERROR(K31-I31,"-")</f>
        <v>-9.4741601048798696E-2</v>
      </c>
      <c r="M31" s="220">
        <v>1.8163650075414781</v>
      </c>
      <c r="N31" s="221">
        <f t="shared" si="4"/>
        <v>5.7063216085345925E-2</v>
      </c>
    </row>
    <row r="32" spans="1:15" x14ac:dyDescent="0.25">
      <c r="B32" s="145" t="s">
        <v>75</v>
      </c>
      <c r="C32" s="220">
        <v>1.7546553413917021</v>
      </c>
      <c r="D32" s="221">
        <v>-0.14055320738458188</v>
      </c>
      <c r="E32" s="220">
        <v>1.6583229036295368</v>
      </c>
      <c r="F32" s="221">
        <f t="shared" si="3"/>
        <v>-9.6332437762165268E-2</v>
      </c>
      <c r="G32" s="220">
        <v>1.9862405681313804</v>
      </c>
      <c r="H32" s="221">
        <f t="shared" si="3"/>
        <v>0.32791766450184356</v>
      </c>
      <c r="I32" s="220">
        <v>1.8500483714930667</v>
      </c>
      <c r="J32" s="221">
        <f t="shared" si="3"/>
        <v>-0.13619219663831372</v>
      </c>
      <c r="K32" s="220">
        <v>2.2994923857868019</v>
      </c>
      <c r="L32" s="221">
        <f t="shared" si="4"/>
        <v>0.44944401429373526</v>
      </c>
      <c r="M32" s="220">
        <v>2.1857954545454548</v>
      </c>
      <c r="N32" s="221">
        <f t="shared" si="4"/>
        <v>-0.11369693124134717</v>
      </c>
    </row>
    <row r="33" spans="2:15" x14ac:dyDescent="0.25">
      <c r="B33" s="145" t="s">
        <v>77</v>
      </c>
      <c r="C33" s="220">
        <v>1.6356821589205397</v>
      </c>
      <c r="D33" s="221">
        <v>-0.24667078225593086</v>
      </c>
      <c r="E33" s="220">
        <v>1.814327485380117</v>
      </c>
      <c r="F33" s="221">
        <f t="shared" si="3"/>
        <v>0.17864532645957731</v>
      </c>
      <c r="G33" s="220">
        <v>2.0317519611505417</v>
      </c>
      <c r="H33" s="221">
        <f t="shared" si="3"/>
        <v>0.21742447577042467</v>
      </c>
      <c r="I33" s="220">
        <v>1.8848289973691903</v>
      </c>
      <c r="J33" s="221">
        <f t="shared" si="3"/>
        <v>-0.14692296378135139</v>
      </c>
      <c r="K33" s="220">
        <v>1.9806231003039514</v>
      </c>
      <c r="L33" s="221">
        <f t="shared" si="4"/>
        <v>9.5794102934761094E-2</v>
      </c>
      <c r="M33" s="220">
        <v>1.7477379659790084</v>
      </c>
      <c r="N33" s="221">
        <f t="shared" si="4"/>
        <v>-0.23288513432494296</v>
      </c>
    </row>
    <row r="34" spans="2:15" x14ac:dyDescent="0.25">
      <c r="B34" s="145" t="s">
        <v>79</v>
      </c>
      <c r="C34" s="220" t="s">
        <v>233</v>
      </c>
      <c r="D34" s="221" t="s">
        <v>233</v>
      </c>
      <c r="E34" s="220">
        <v>1.8201368523949168</v>
      </c>
      <c r="F34" s="221" t="str">
        <f>IFERROR(E34-C34,"-")</f>
        <v>-</v>
      </c>
      <c r="G34" s="220">
        <v>2.2582731076454925</v>
      </c>
      <c r="H34" s="221">
        <f>IFERROR(G34-E34,"-")</f>
        <v>0.43813625525057565</v>
      </c>
      <c r="I34" s="220">
        <v>1.7696677080374894</v>
      </c>
      <c r="J34" s="221">
        <f>IFERROR(I34-G34,"-")</f>
        <v>-0.48860539960800309</v>
      </c>
      <c r="K34" s="220">
        <v>1.8177655677655677</v>
      </c>
      <c r="L34" s="221">
        <f>IFERROR(K34-I34,"-")</f>
        <v>4.809785972807834E-2</v>
      </c>
      <c r="M34" s="220">
        <v>2.1689594356261024</v>
      </c>
      <c r="N34" s="221">
        <f t="shared" si="4"/>
        <v>0.35119386786053464</v>
      </c>
    </row>
    <row r="35" spans="2:15" x14ac:dyDescent="0.25">
      <c r="B35" s="145" t="s">
        <v>81</v>
      </c>
      <c r="C35" s="220" t="s">
        <v>233</v>
      </c>
      <c r="D35" s="221" t="s">
        <v>233</v>
      </c>
      <c r="E35" s="220">
        <v>1.8474870017331022</v>
      </c>
      <c r="F35" s="221" t="str">
        <f t="shared" si="3"/>
        <v>-</v>
      </c>
      <c r="G35" s="220">
        <v>2.1116956697693241</v>
      </c>
      <c r="H35" s="221">
        <f t="shared" si="3"/>
        <v>0.26420866803622189</v>
      </c>
      <c r="I35" s="220">
        <v>2.0239369191776966</v>
      </c>
      <c r="J35" s="221">
        <f t="shared" si="3"/>
        <v>-8.7758750591627521E-2</v>
      </c>
      <c r="K35" s="220">
        <v>1.8523102310231023</v>
      </c>
      <c r="L35" s="221">
        <f t="shared" si="4"/>
        <v>-0.17162668815459425</v>
      </c>
      <c r="M35" s="220">
        <v>2.14046061984646</v>
      </c>
      <c r="N35" s="221">
        <f t="shared" si="4"/>
        <v>0.28815038882335764</v>
      </c>
    </row>
    <row r="36" spans="2:15" x14ac:dyDescent="0.25">
      <c r="B36" s="145" t="s">
        <v>83</v>
      </c>
      <c r="C36" s="220" t="s">
        <v>233</v>
      </c>
      <c r="D36" s="221" t="s">
        <v>233</v>
      </c>
      <c r="E36" s="220">
        <v>1.6966057441253264</v>
      </c>
      <c r="F36" s="221" t="str">
        <f t="shared" si="3"/>
        <v>-</v>
      </c>
      <c r="G36" s="220">
        <v>2.2217877094972067</v>
      </c>
      <c r="H36" s="221">
        <f t="shared" si="3"/>
        <v>0.52518196537188033</v>
      </c>
      <c r="I36" s="220">
        <v>1.9933008526187577</v>
      </c>
      <c r="J36" s="221">
        <f t="shared" si="3"/>
        <v>-0.22848685687844905</v>
      </c>
      <c r="K36" s="220">
        <v>2.0435505319148937</v>
      </c>
      <c r="L36" s="221">
        <f t="shared" si="4"/>
        <v>5.0249679296135996E-2</v>
      </c>
      <c r="M36" s="220">
        <v>2.3801732435033687</v>
      </c>
      <c r="N36" s="221">
        <f t="shared" si="4"/>
        <v>0.33662271158847501</v>
      </c>
    </row>
    <row r="37" spans="2:15" x14ac:dyDescent="0.25">
      <c r="B37" s="145" t="s">
        <v>85</v>
      </c>
      <c r="C37" s="220" t="s">
        <v>233</v>
      </c>
      <c r="D37" s="221" t="s">
        <v>233</v>
      </c>
      <c r="E37" s="220">
        <v>1.9532019704433496</v>
      </c>
      <c r="F37" s="221" t="str">
        <f t="shared" si="3"/>
        <v>-</v>
      </c>
      <c r="G37" s="220">
        <v>2.0493939393939393</v>
      </c>
      <c r="H37" s="221">
        <f t="shared" si="3"/>
        <v>9.6191968950589679E-2</v>
      </c>
      <c r="I37" s="220">
        <v>1.9799121155053359</v>
      </c>
      <c r="J37" s="221">
        <f t="shared" si="3"/>
        <v>-6.9481823888603467E-2</v>
      </c>
      <c r="K37" s="220">
        <v>1.9556135770234986</v>
      </c>
      <c r="L37" s="221">
        <f t="shared" si="4"/>
        <v>-2.4298538481837273E-2</v>
      </c>
      <c r="M37" s="220">
        <v>2.6169255928045789</v>
      </c>
      <c r="N37" s="221">
        <f t="shared" si="4"/>
        <v>0.66131201578108034</v>
      </c>
    </row>
    <row r="38" spans="2:15" x14ac:dyDescent="0.25">
      <c r="B38" s="145" t="s">
        <v>87</v>
      </c>
      <c r="C38" s="220">
        <v>2.3508196721311476</v>
      </c>
      <c r="D38" s="221">
        <v>0.30138877782220463</v>
      </c>
      <c r="E38" s="220">
        <v>2.4569536423841059</v>
      </c>
      <c r="F38" s="221">
        <f t="shared" si="3"/>
        <v>0.10613397025295823</v>
      </c>
      <c r="G38" s="220">
        <v>2.3296067848882034</v>
      </c>
      <c r="H38" s="221">
        <f t="shared" si="3"/>
        <v>-0.12734685749590247</v>
      </c>
      <c r="I38" s="220">
        <v>2.120403321470937</v>
      </c>
      <c r="J38" s="221">
        <f t="shared" si="3"/>
        <v>-0.20920346341726637</v>
      </c>
      <c r="K38" s="220">
        <v>2.7328288707799766</v>
      </c>
      <c r="L38" s="221">
        <f t="shared" si="4"/>
        <v>0.61242554930903959</v>
      </c>
      <c r="M38" s="220">
        <v>2.4528493894165537</v>
      </c>
      <c r="N38" s="221">
        <f t="shared" si="4"/>
        <v>-0.27997948136342288</v>
      </c>
    </row>
    <row r="39" spans="2:15" x14ac:dyDescent="0.25">
      <c r="B39" s="145" t="s">
        <v>89</v>
      </c>
      <c r="C39" s="220">
        <v>2.1324549237170598</v>
      </c>
      <c r="D39" s="221">
        <v>0.27851833661339032</v>
      </c>
      <c r="E39" s="220">
        <v>2.1088917525773194</v>
      </c>
      <c r="F39" s="221">
        <f t="shared" si="3"/>
        <v>-2.356317113974038E-2</v>
      </c>
      <c r="G39" s="220">
        <v>1.9187802792818467</v>
      </c>
      <c r="H39" s="221">
        <f t="shared" si="3"/>
        <v>-0.19011147329547273</v>
      </c>
      <c r="I39" s="220">
        <v>1.8982850384387937</v>
      </c>
      <c r="J39" s="221">
        <f t="shared" si="3"/>
        <v>-2.0495240843052986E-2</v>
      </c>
      <c r="K39" s="220">
        <v>1.8101173020527859</v>
      </c>
      <c r="L39" s="221">
        <f t="shared" si="4"/>
        <v>-8.8167736386007833E-2</v>
      </c>
      <c r="M39" s="220">
        <v>2.0371862410907964</v>
      </c>
      <c r="N39" s="221">
        <f t="shared" si="4"/>
        <v>0.22706893903801051</v>
      </c>
    </row>
    <row r="40" spans="2:15" x14ac:dyDescent="0.25">
      <c r="B40" s="145" t="s">
        <v>91</v>
      </c>
      <c r="C40" s="220">
        <v>2.0562546262028127</v>
      </c>
      <c r="D40" s="221">
        <v>0.16517182365504213</v>
      </c>
      <c r="E40" s="220">
        <v>1.844381758345087</v>
      </c>
      <c r="F40" s="221">
        <f t="shared" si="3"/>
        <v>-0.21187286785772574</v>
      </c>
      <c r="G40" s="220">
        <v>2.1810207336523124</v>
      </c>
      <c r="H40" s="221">
        <f t="shared" si="3"/>
        <v>0.33663897530722542</v>
      </c>
      <c r="I40" s="220">
        <v>1.9529203539823008</v>
      </c>
      <c r="J40" s="221">
        <f t="shared" si="3"/>
        <v>-0.22810037967001162</v>
      </c>
      <c r="K40" s="220">
        <v>1.8134092346616066</v>
      </c>
      <c r="L40" s="221">
        <f t="shared" si="4"/>
        <v>-0.13951111932069415</v>
      </c>
      <c r="M40" s="220">
        <v>1.82603550295858</v>
      </c>
      <c r="N40" s="221">
        <f t="shared" si="4"/>
        <v>1.2626268296973331E-2</v>
      </c>
    </row>
    <row r="41" spans="2:15" x14ac:dyDescent="0.25">
      <c r="B41" s="145" t="s">
        <v>93</v>
      </c>
      <c r="C41" s="220">
        <v>1.9450636942675159</v>
      </c>
      <c r="D41" s="221">
        <v>0.18364237447056153</v>
      </c>
      <c r="E41" s="220">
        <v>1.8789903489235338</v>
      </c>
      <c r="F41" s="221">
        <f t="shared" si="3"/>
        <v>-6.6073345343982126E-2</v>
      </c>
      <c r="G41" s="220">
        <v>1.8751584283903675</v>
      </c>
      <c r="H41" s="221">
        <f t="shared" si="3"/>
        <v>-3.8319205331662776E-3</v>
      </c>
      <c r="I41" s="220">
        <v>1.8118126272912423</v>
      </c>
      <c r="J41" s="221">
        <f t="shared" si="3"/>
        <v>-6.3345801099125243E-2</v>
      </c>
      <c r="K41" s="220">
        <v>2.2344701583434836</v>
      </c>
      <c r="L41" s="221">
        <f t="shared" si="4"/>
        <v>0.42265753105224135</v>
      </c>
      <c r="M41" s="220"/>
      <c r="N41" s="221"/>
    </row>
    <row r="42" spans="2:15" x14ac:dyDescent="0.25">
      <c r="B42" s="145" t="s">
        <v>95</v>
      </c>
      <c r="C42" s="220">
        <v>2.1720807726075506</v>
      </c>
      <c r="D42" s="221">
        <v>0.4360325071475204</v>
      </c>
      <c r="E42" s="220">
        <v>1.9224517439891635</v>
      </c>
      <c r="F42" s="221">
        <f t="shared" si="3"/>
        <v>-0.24962902861838709</v>
      </c>
      <c r="G42" s="220">
        <v>1.8219708246501936</v>
      </c>
      <c r="H42" s="221">
        <f t="shared" si="3"/>
        <v>-0.10048091933896997</v>
      </c>
      <c r="I42" s="220">
        <v>1.8590240123934934</v>
      </c>
      <c r="J42" s="221">
        <f t="shared" si="3"/>
        <v>3.7053187743299798E-2</v>
      </c>
      <c r="K42" s="220">
        <v>1.9500310366232154</v>
      </c>
      <c r="L42" s="221">
        <f t="shared" si="4"/>
        <v>9.1007024229722067E-2</v>
      </c>
      <c r="M42" s="220"/>
      <c r="N42" s="221"/>
    </row>
    <row r="43" spans="2:15" ht="15.75" x14ac:dyDescent="0.25">
      <c r="B43" s="148" t="s">
        <v>32</v>
      </c>
      <c r="C43" s="222">
        <v>1.9846470698371093</v>
      </c>
      <c r="D43" s="223">
        <v>1.9831207340813561E-2</v>
      </c>
      <c r="E43" s="222">
        <v>1.9355328547763666</v>
      </c>
      <c r="F43" s="223">
        <f t="shared" si="3"/>
        <v>-4.911421506074265E-2</v>
      </c>
      <c r="G43" s="222">
        <v>2.098583217486468</v>
      </c>
      <c r="H43" s="223">
        <f t="shared" si="3"/>
        <v>0.16305036271010143</v>
      </c>
      <c r="I43" s="222">
        <v>1.9201526960394464</v>
      </c>
      <c r="J43" s="223">
        <f t="shared" si="3"/>
        <v>-0.17843052144702165</v>
      </c>
      <c r="K43" s="222">
        <v>1.9837804639736467</v>
      </c>
      <c r="L43" s="223">
        <f t="shared" si="4"/>
        <v>6.362776793420033E-2</v>
      </c>
      <c r="M43" s="222">
        <v>2.1197015937605967</v>
      </c>
      <c r="N43" s="223">
        <v>0.16029514654927146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7" spans="2:15" x14ac:dyDescent="0.25">
      <c r="E47" s="151"/>
      <c r="G47" s="151"/>
      <c r="I47" s="151"/>
      <c r="K47" s="153"/>
    </row>
    <row r="48" spans="2:15" ht="48.75" customHeight="1" thickBot="1" x14ac:dyDescent="0.3">
      <c r="B48" s="12" t="s">
        <v>294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102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v>2020</v>
      </c>
      <c r="D51" s="139"/>
      <c r="E51" s="140">
        <v>2021</v>
      </c>
      <c r="F51" s="139"/>
      <c r="G51" s="140">
        <v>2022</v>
      </c>
      <c r="H51" s="139"/>
      <c r="I51" s="140">
        <v>2023</v>
      </c>
      <c r="J51" s="139"/>
      <c r="K51" s="140">
        <v>2024</v>
      </c>
      <c r="L51" s="139"/>
      <c r="M51" s="140"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CONCATENATE("dif ",RIGHT(C51,2),"/",RIGHT(C51-1,2))</f>
        <v>dif 20/19</v>
      </c>
      <c r="E52" s="144" t="s">
        <v>71</v>
      </c>
      <c r="F52" s="143" t="str">
        <f>CONCATENATE("dif ",RIGHT(E51,2),"/",RIGHT(C51,2))</f>
        <v>dif 21/20</v>
      </c>
      <c r="G52" s="144" t="s">
        <v>71</v>
      </c>
      <c r="H52" s="143" t="str">
        <f>CONCATENATE("dif ",RIGHT(G51,2),"/",RIGHT(E51,2))</f>
        <v>dif 22/21</v>
      </c>
      <c r="I52" s="144" t="s">
        <v>71</v>
      </c>
      <c r="J52" s="143" t="str">
        <f>CONCATENATE("dif ",RIGHT(I51,2),"/",RIGHT(G51,2))</f>
        <v>dif 23/22</v>
      </c>
      <c r="K52" s="144" t="s">
        <v>71</v>
      </c>
      <c r="L52" s="143" t="str">
        <f>CONCATENATE("dif ",RIGHT(K51,2),"/",RIGHT(I51,2))</f>
        <v>dif 24/23</v>
      </c>
      <c r="M52" s="144" t="s">
        <v>71</v>
      </c>
      <c r="N52" s="143" t="str">
        <f>CONCATENATE("dif ",RIGHT(M51,2),"/",RIGHT(K51,2))</f>
        <v>dif 25/24</v>
      </c>
    </row>
    <row r="53" spans="1:15" x14ac:dyDescent="0.25">
      <c r="A53" s="1">
        <v>1</v>
      </c>
      <c r="B53" s="145" t="s">
        <v>73</v>
      </c>
      <c r="C53" s="220">
        <v>2.4701986754966887</v>
      </c>
      <c r="D53" s="221">
        <v>0.29061310373920612</v>
      </c>
      <c r="E53" s="220">
        <v>1.8877887788778878</v>
      </c>
      <c r="F53" s="221">
        <f t="shared" ref="F53:J65" si="5">IFERROR(E53-C53,"-")</f>
        <v>-0.58240989661880094</v>
      </c>
      <c r="G53" s="220">
        <v>2.7045235803657364</v>
      </c>
      <c r="H53" s="221">
        <f t="shared" si="5"/>
        <v>0.81673480148784861</v>
      </c>
      <c r="I53" s="220">
        <v>2.1779062299293512</v>
      </c>
      <c r="J53" s="221">
        <f t="shared" si="5"/>
        <v>-0.52661735043638513</v>
      </c>
      <c r="K53" s="220">
        <v>1.8096885813148789</v>
      </c>
      <c r="L53" s="221">
        <f t="shared" ref="L53:N65" si="6">IFERROR(K53-I53,"-")</f>
        <v>-0.36821764861447237</v>
      </c>
      <c r="M53" s="220">
        <v>1.9697488584474885</v>
      </c>
      <c r="N53" s="221">
        <f t="shared" si="6"/>
        <v>0.16006027713260962</v>
      </c>
    </row>
    <row r="54" spans="1:15" x14ac:dyDescent="0.25">
      <c r="A54" s="1">
        <v>2</v>
      </c>
      <c r="B54" s="145" t="s">
        <v>75</v>
      </c>
      <c r="C54" s="220">
        <v>2.0367700072098054</v>
      </c>
      <c r="D54" s="221">
        <v>-0.13761691377112095</v>
      </c>
      <c r="E54" s="220">
        <v>1.7869822485207101</v>
      </c>
      <c r="F54" s="221">
        <f t="shared" si="5"/>
        <v>-0.24978775868909531</v>
      </c>
      <c r="G54" s="220">
        <v>2.3289124668435015</v>
      </c>
      <c r="H54" s="221">
        <f t="shared" si="5"/>
        <v>0.54193021832279142</v>
      </c>
      <c r="I54" s="220">
        <v>1.910030627871363</v>
      </c>
      <c r="J54" s="221">
        <f t="shared" si="5"/>
        <v>-0.41888183897213849</v>
      </c>
      <c r="K54" s="220">
        <v>2.0161987041036715</v>
      </c>
      <c r="L54" s="221">
        <f t="shared" si="6"/>
        <v>0.10616807623230851</v>
      </c>
      <c r="M54" s="220">
        <v>1.8417213712618528</v>
      </c>
      <c r="N54" s="221">
        <f t="shared" si="6"/>
        <v>-0.17447733284181877</v>
      </c>
    </row>
    <row r="55" spans="1:15" x14ac:dyDescent="0.25">
      <c r="A55" s="1">
        <v>3</v>
      </c>
      <c r="B55" s="145" t="s">
        <v>77</v>
      </c>
      <c r="C55" s="220">
        <v>1.8451612903225807</v>
      </c>
      <c r="D55" s="221">
        <v>-0.24615132857405841</v>
      </c>
      <c r="E55" s="220">
        <v>1.8140000000000001</v>
      </c>
      <c r="F55" s="221">
        <f t="shared" si="5"/>
        <v>-3.1161290322580637E-2</v>
      </c>
      <c r="G55" s="220">
        <v>2.0361816782140107</v>
      </c>
      <c r="H55" s="221">
        <f t="shared" si="5"/>
        <v>0.22218167821401069</v>
      </c>
      <c r="I55" s="220">
        <v>1.9119541875447388</v>
      </c>
      <c r="J55" s="221">
        <f t="shared" si="5"/>
        <v>-0.12422749066927197</v>
      </c>
      <c r="K55" s="220">
        <v>2.1184280403611258</v>
      </c>
      <c r="L55" s="221">
        <f t="shared" si="6"/>
        <v>0.20647385281638697</v>
      </c>
      <c r="M55" s="220">
        <v>1.8521017125064867</v>
      </c>
      <c r="N55" s="221">
        <f t="shared" si="6"/>
        <v>-0.26632632785463906</v>
      </c>
    </row>
    <row r="56" spans="1:15" x14ac:dyDescent="0.25">
      <c r="A56" s="1">
        <v>4</v>
      </c>
      <c r="B56" s="145" t="s">
        <v>79</v>
      </c>
      <c r="C56" s="220" t="s">
        <v>233</v>
      </c>
      <c r="D56" s="221" t="s">
        <v>233</v>
      </c>
      <c r="E56" s="220">
        <v>1.8374760994263861</v>
      </c>
      <c r="F56" s="221" t="str">
        <f>IFERROR(E56-C56,"-")</f>
        <v>-</v>
      </c>
      <c r="G56" s="220">
        <v>2.7884615384615383</v>
      </c>
      <c r="H56" s="221">
        <f>IFERROR(G56-E56,"-")</f>
        <v>0.9509854390351522</v>
      </c>
      <c r="I56" s="220">
        <v>1.8283518360375748</v>
      </c>
      <c r="J56" s="221">
        <f>IFERROR(I56-G56,"-")</f>
        <v>-0.96010970242396354</v>
      </c>
      <c r="K56" s="220">
        <v>1.8955807587016034</v>
      </c>
      <c r="L56" s="221">
        <f>IFERROR(K56-I56,"-")</f>
        <v>6.7228922664028579E-2</v>
      </c>
      <c r="M56" s="220">
        <v>2.4029925187032419</v>
      </c>
      <c r="N56" s="221">
        <f t="shared" si="6"/>
        <v>0.50741176000163857</v>
      </c>
    </row>
    <row r="57" spans="1:15" x14ac:dyDescent="0.25">
      <c r="A57" s="1">
        <v>5</v>
      </c>
      <c r="B57" s="145" t="s">
        <v>81</v>
      </c>
      <c r="C57" s="220" t="s">
        <v>233</v>
      </c>
      <c r="D57" s="221" t="s">
        <v>233</v>
      </c>
      <c r="E57" s="220">
        <v>1.8921282798833818</v>
      </c>
      <c r="F57" s="221" t="str">
        <f t="shared" si="5"/>
        <v>-</v>
      </c>
      <c r="G57" s="220">
        <v>2.4585942936673626</v>
      </c>
      <c r="H57" s="221">
        <f t="shared" si="5"/>
        <v>0.56646601378398076</v>
      </c>
      <c r="I57" s="220">
        <v>2.3117593436645398</v>
      </c>
      <c r="J57" s="221">
        <f t="shared" si="5"/>
        <v>-0.14683495000282276</v>
      </c>
      <c r="K57" s="220">
        <v>2.032228778937812</v>
      </c>
      <c r="L57" s="221">
        <f t="shared" si="6"/>
        <v>-0.27953056472672788</v>
      </c>
      <c r="M57" s="220">
        <v>2.077142857142857</v>
      </c>
      <c r="N57" s="221">
        <f t="shared" si="6"/>
        <v>4.4914078205045005E-2</v>
      </c>
    </row>
    <row r="58" spans="1:15" x14ac:dyDescent="0.25">
      <c r="A58" s="1">
        <v>6</v>
      </c>
      <c r="B58" s="145" t="s">
        <v>83</v>
      </c>
      <c r="C58" s="220" t="s">
        <v>233</v>
      </c>
      <c r="D58" s="221" t="s">
        <v>233</v>
      </c>
      <c r="E58" s="220">
        <v>1.8134969325153374</v>
      </c>
      <c r="F58" s="221" t="str">
        <f t="shared" si="5"/>
        <v>-</v>
      </c>
      <c r="G58" s="220">
        <v>2.155002891844997</v>
      </c>
      <c r="H58" s="221">
        <f t="shared" si="5"/>
        <v>0.34150595932965966</v>
      </c>
      <c r="I58" s="220">
        <v>2.1816707218167073</v>
      </c>
      <c r="J58" s="221">
        <f t="shared" si="5"/>
        <v>2.6667829971710244E-2</v>
      </c>
      <c r="K58" s="220">
        <v>2.174083769633508</v>
      </c>
      <c r="L58" s="221">
        <f t="shared" si="6"/>
        <v>-7.5869521831992692E-3</v>
      </c>
      <c r="M58" s="220">
        <v>2.0606205250596661</v>
      </c>
      <c r="N58" s="221">
        <f t="shared" si="6"/>
        <v>-0.11346324457384194</v>
      </c>
    </row>
    <row r="59" spans="1:15" x14ac:dyDescent="0.25">
      <c r="A59" s="1">
        <v>7</v>
      </c>
      <c r="B59" s="145" t="s">
        <v>85</v>
      </c>
      <c r="C59" s="220" t="s">
        <v>233</v>
      </c>
      <c r="D59" s="221" t="s">
        <v>233</v>
      </c>
      <c r="E59" s="220">
        <v>1.9929577464788732</v>
      </c>
      <c r="F59" s="221" t="str">
        <f t="shared" si="5"/>
        <v>-</v>
      </c>
      <c r="G59" s="220">
        <v>2.4557438794726929</v>
      </c>
      <c r="H59" s="221">
        <f t="shared" si="5"/>
        <v>0.46278613299381965</v>
      </c>
      <c r="I59" s="220">
        <v>2.1775417298937785</v>
      </c>
      <c r="J59" s="221">
        <f t="shared" si="5"/>
        <v>-0.27820214957891443</v>
      </c>
      <c r="K59" s="220">
        <v>2.2250136537411249</v>
      </c>
      <c r="L59" s="221">
        <f t="shared" si="6"/>
        <v>4.7471923847346442E-2</v>
      </c>
      <c r="M59" s="220">
        <v>2.6652334152334154</v>
      </c>
      <c r="N59" s="221">
        <f t="shared" si="6"/>
        <v>0.44021976149229047</v>
      </c>
    </row>
    <row r="60" spans="1:15" x14ac:dyDescent="0.25">
      <c r="A60" s="1">
        <v>8</v>
      </c>
      <c r="B60" s="145" t="s">
        <v>87</v>
      </c>
      <c r="C60" s="220">
        <v>2.4185218165627784</v>
      </c>
      <c r="D60" s="221">
        <v>-7.4163952787298371E-4</v>
      </c>
      <c r="E60" s="220">
        <v>2.6215071972904318</v>
      </c>
      <c r="F60" s="221">
        <f t="shared" si="5"/>
        <v>0.20298538072765338</v>
      </c>
      <c r="G60" s="220">
        <v>2.5198487712665405</v>
      </c>
      <c r="H60" s="221">
        <f t="shared" si="5"/>
        <v>-0.1016584260238913</v>
      </c>
      <c r="I60" s="220">
        <v>2.29901707190895</v>
      </c>
      <c r="J60" s="221">
        <f t="shared" si="5"/>
        <v>-0.22083169935759051</v>
      </c>
      <c r="K60" s="220">
        <v>2.3365758754863815</v>
      </c>
      <c r="L60" s="221">
        <f t="shared" si="6"/>
        <v>3.7558803577431465E-2</v>
      </c>
      <c r="M60" s="220">
        <v>2.6602086438152011</v>
      </c>
      <c r="N60" s="221">
        <f t="shared" si="6"/>
        <v>0.3236327683288196</v>
      </c>
    </row>
    <row r="61" spans="1:15" x14ac:dyDescent="0.25">
      <c r="A61" s="1">
        <v>9</v>
      </c>
      <c r="B61" s="145" t="s">
        <v>89</v>
      </c>
      <c r="C61" s="220">
        <v>2.3158584534731324</v>
      </c>
      <c r="D61" s="221">
        <v>0.23755385577198274</v>
      </c>
      <c r="E61" s="220">
        <v>2.1552369077306732</v>
      </c>
      <c r="F61" s="221">
        <f t="shared" si="5"/>
        <v>-0.16062154574245913</v>
      </c>
      <c r="G61" s="220">
        <v>2.1402838427947599</v>
      </c>
      <c r="H61" s="221">
        <f t="shared" si="5"/>
        <v>-1.4953064935913307E-2</v>
      </c>
      <c r="I61" s="220">
        <v>1.996734693877551</v>
      </c>
      <c r="J61" s="221">
        <f t="shared" si="5"/>
        <v>-0.14354914891720894</v>
      </c>
      <c r="K61" s="220">
        <v>2.0187553282182438</v>
      </c>
      <c r="L61" s="221">
        <f t="shared" si="6"/>
        <v>2.2020634340692791E-2</v>
      </c>
      <c r="M61" s="220">
        <v>2.2105751391465676</v>
      </c>
      <c r="N61" s="221">
        <f t="shared" si="6"/>
        <v>0.19181981092832379</v>
      </c>
    </row>
    <row r="62" spans="1:15" x14ac:dyDescent="0.25">
      <c r="A62" s="1">
        <v>10</v>
      </c>
      <c r="B62" s="145" t="s">
        <v>91</v>
      </c>
      <c r="C62" s="220">
        <v>2.404040404040404</v>
      </c>
      <c r="D62" s="221">
        <v>0.44884692135201298</v>
      </c>
      <c r="E62" s="220">
        <v>1.8752688172043011</v>
      </c>
      <c r="F62" s="221">
        <f t="shared" si="5"/>
        <v>-0.52877158683610292</v>
      </c>
      <c r="G62" s="220">
        <v>2.4211590296495955</v>
      </c>
      <c r="H62" s="221">
        <f t="shared" si="5"/>
        <v>0.54589021244529445</v>
      </c>
      <c r="I62" s="220">
        <v>2.0656192236598891</v>
      </c>
      <c r="J62" s="221">
        <f t="shared" si="5"/>
        <v>-0.35553980598970636</v>
      </c>
      <c r="K62" s="220">
        <v>2.0150204824761038</v>
      </c>
      <c r="L62" s="221">
        <f t="shared" si="6"/>
        <v>-5.0598741183785378E-2</v>
      </c>
      <c r="M62" s="220">
        <v>2.1529038112522687</v>
      </c>
      <c r="N62" s="221">
        <f t="shared" si="6"/>
        <v>0.13788332877616494</v>
      </c>
    </row>
    <row r="63" spans="1:15" x14ac:dyDescent="0.25">
      <c r="A63" s="1">
        <v>11</v>
      </c>
      <c r="B63" s="145" t="s">
        <v>93</v>
      </c>
      <c r="C63" s="220">
        <v>2.1905737704918034</v>
      </c>
      <c r="D63" s="221">
        <v>0.30703963394561851</v>
      </c>
      <c r="E63" s="220">
        <v>1.9847826086956522</v>
      </c>
      <c r="F63" s="221">
        <f t="shared" si="5"/>
        <v>-0.2057911617961512</v>
      </c>
      <c r="G63" s="220">
        <v>2.0983709273182956</v>
      </c>
      <c r="H63" s="221">
        <f t="shared" si="5"/>
        <v>0.1135883186226434</v>
      </c>
      <c r="I63" s="220">
        <v>1.8906950672645739</v>
      </c>
      <c r="J63" s="221">
        <f t="shared" si="5"/>
        <v>-0.20767586005372163</v>
      </c>
      <c r="K63" s="220">
        <v>2.0650684931506849</v>
      </c>
      <c r="L63" s="221">
        <f t="shared" si="6"/>
        <v>0.17437342588611093</v>
      </c>
      <c r="M63" s="220"/>
      <c r="N63" s="221"/>
    </row>
    <row r="64" spans="1:15" x14ac:dyDescent="0.25">
      <c r="A64" s="1">
        <v>12</v>
      </c>
      <c r="B64" s="145" t="s">
        <v>95</v>
      </c>
      <c r="C64" s="220">
        <v>1.8355795148247978</v>
      </c>
      <c r="D64" s="221">
        <v>0.19841970487126126</v>
      </c>
      <c r="E64" s="220">
        <v>2.1591062965470549</v>
      </c>
      <c r="F64" s="221">
        <f t="shared" si="5"/>
        <v>0.32352678172225713</v>
      </c>
      <c r="G64" s="220">
        <v>2.0200647249190937</v>
      </c>
      <c r="H64" s="221">
        <f t="shared" si="5"/>
        <v>-0.13904157162796116</v>
      </c>
      <c r="I64" s="220">
        <v>2.0252631578947367</v>
      </c>
      <c r="J64" s="221">
        <f t="shared" si="5"/>
        <v>5.1984329756429304E-3</v>
      </c>
      <c r="K64" s="220">
        <v>2.1170091324200913</v>
      </c>
      <c r="L64" s="221">
        <f t="shared" si="6"/>
        <v>9.1745974525354601E-2</v>
      </c>
      <c r="M64" s="220"/>
      <c r="N64" s="221"/>
    </row>
    <row r="65" spans="1:15" ht="15.75" x14ac:dyDescent="0.25">
      <c r="B65" s="148" t="s">
        <v>32</v>
      </c>
      <c r="C65" s="222">
        <v>2.2143343779806512</v>
      </c>
      <c r="D65" s="223">
        <v>-8.1414096181466888E-3</v>
      </c>
      <c r="E65" s="222">
        <v>2.0525580095051721</v>
      </c>
      <c r="F65" s="223">
        <f t="shared" si="5"/>
        <v>-0.16177636847547916</v>
      </c>
      <c r="G65" s="222">
        <v>2.3243721461187214</v>
      </c>
      <c r="H65" s="223">
        <f t="shared" si="5"/>
        <v>0.27181413661354936</v>
      </c>
      <c r="I65" s="222">
        <v>2.0556463538018521</v>
      </c>
      <c r="J65" s="223">
        <f t="shared" si="5"/>
        <v>-0.26872579231686933</v>
      </c>
      <c r="K65" s="222">
        <v>2.0637738055462744</v>
      </c>
      <c r="L65" s="223">
        <f t="shared" si="6"/>
        <v>8.1274517444223093E-3</v>
      </c>
      <c r="M65" s="222">
        <v>2.1777179763186223</v>
      </c>
      <c r="N65" s="223">
        <v>0.11870467475022828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295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105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v>2020</v>
      </c>
      <c r="D73" s="139"/>
      <c r="E73" s="140">
        <v>2021</v>
      </c>
      <c r="F73" s="139"/>
      <c r="G73" s="140">
        <v>2022</v>
      </c>
      <c r="H73" s="139"/>
      <c r="I73" s="140">
        <v>2023</v>
      </c>
      <c r="J73" s="139"/>
      <c r="K73" s="140">
        <v>2024</v>
      </c>
      <c r="L73" s="139"/>
      <c r="M73" s="140"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CONCATENATE("dif ",RIGHT(C73,2),"/",RIGHT(C73-1,2))</f>
        <v>dif 20/19</v>
      </c>
      <c r="E74" s="144" t="s">
        <v>71</v>
      </c>
      <c r="F74" s="143" t="str">
        <f>CONCATENATE("dif ",RIGHT(E73,2),"/",RIGHT(C73,2))</f>
        <v>dif 21/20</v>
      </c>
      <c r="G74" s="144" t="s">
        <v>71</v>
      </c>
      <c r="H74" s="143" t="str">
        <f>CONCATENATE("dif ",RIGHT(G73,2),"/",RIGHT(E73,2))</f>
        <v>dif 22/21</v>
      </c>
      <c r="I74" s="144" t="s">
        <v>71</v>
      </c>
      <c r="J74" s="143" t="str">
        <f>CONCATENATE("dif ",RIGHT(I73,2),"/",RIGHT(G73,2))</f>
        <v>dif 23/22</v>
      </c>
      <c r="K74" s="144" t="s">
        <v>71</v>
      </c>
      <c r="L74" s="143" t="str">
        <f>CONCATENATE("dif ",RIGHT(K73,2),"/",RIGHT(I73,2))</f>
        <v>dif 24/23</v>
      </c>
      <c r="M74" s="144" t="s">
        <v>71</v>
      </c>
      <c r="N74" s="143" t="str">
        <f>CONCATENATE("dif ",RIGHT(M73,2),"/",RIGHT(K73,2))</f>
        <v>dif 25/24</v>
      </c>
    </row>
    <row r="75" spans="1:15" x14ac:dyDescent="0.25">
      <c r="A75" s="1">
        <v>1</v>
      </c>
      <c r="B75" s="145" t="s">
        <v>73</v>
      </c>
      <c r="C75" s="220">
        <v>1.5348460291734198</v>
      </c>
      <c r="D75" s="221">
        <v>-0.17414113202486825</v>
      </c>
      <c r="E75" s="220">
        <v>1.946236559139785</v>
      </c>
      <c r="F75" s="221">
        <f t="shared" ref="F75:J77" si="7">IFERROR(E75-C75,"-")</f>
        <v>0.41139052996636516</v>
      </c>
      <c r="G75" s="220">
        <v>2.8215258855585832</v>
      </c>
      <c r="H75" s="221">
        <f t="shared" si="7"/>
        <v>0.8752893264187982</v>
      </c>
      <c r="I75" s="220">
        <v>1.5144781144781145</v>
      </c>
      <c r="J75" s="221">
        <f t="shared" si="7"/>
        <v>-1.3070477710804687</v>
      </c>
      <c r="K75" s="220">
        <v>1.6598360655737705</v>
      </c>
      <c r="L75" s="221">
        <f t="shared" ref="L75:L77" si="8">IFERROR(K75-I75,"-")</f>
        <v>0.14535795109565597</v>
      </c>
      <c r="M75" s="220">
        <v>1.5177777777777777</v>
      </c>
      <c r="N75" s="221">
        <f t="shared" ref="N75:N84" si="9">IFERROR(M75-K75,"-")</f>
        <v>-0.14205828779599283</v>
      </c>
    </row>
    <row r="76" spans="1:15" x14ac:dyDescent="0.25">
      <c r="A76" s="1">
        <v>2</v>
      </c>
      <c r="B76" s="145" t="s">
        <v>75</v>
      </c>
      <c r="C76" s="220">
        <v>1.5209080047789725</v>
      </c>
      <c r="D76" s="221">
        <v>-8.830343974300936E-2</v>
      </c>
      <c r="E76" s="220">
        <v>1.5639913232104121</v>
      </c>
      <c r="F76" s="221">
        <f t="shared" si="7"/>
        <v>4.3083318431439643E-2</v>
      </c>
      <c r="G76" s="220">
        <v>1.6408199643493762</v>
      </c>
      <c r="H76" s="221">
        <f t="shared" si="7"/>
        <v>7.6828641138964038E-2</v>
      </c>
      <c r="I76" s="220">
        <v>1.5296523517382412</v>
      </c>
      <c r="J76" s="221">
        <f t="shared" si="7"/>
        <v>-0.11116761261113495</v>
      </c>
      <c r="K76" s="220">
        <v>3.9650793650793652</v>
      </c>
      <c r="L76" s="221">
        <f t="shared" si="8"/>
        <v>2.435427013341124</v>
      </c>
      <c r="M76" s="220">
        <v>3.3984575835475579</v>
      </c>
      <c r="N76" s="221">
        <f t="shared" si="9"/>
        <v>-0.56662178153180731</v>
      </c>
    </row>
    <row r="77" spans="1:15" x14ac:dyDescent="0.25">
      <c r="A77" s="1">
        <v>3</v>
      </c>
      <c r="B77" s="145" t="s">
        <v>77</v>
      </c>
      <c r="C77" s="220">
        <v>1.453781512605042</v>
      </c>
      <c r="D77" s="221">
        <v>-0.19285654175833433</v>
      </c>
      <c r="E77" s="220">
        <v>1.814516129032258</v>
      </c>
      <c r="F77" s="221">
        <f t="shared" si="7"/>
        <v>0.36073461642721605</v>
      </c>
      <c r="G77" s="220">
        <v>2.0275761973875182</v>
      </c>
      <c r="H77" s="221">
        <f t="shared" si="7"/>
        <v>0.21306006835526015</v>
      </c>
      <c r="I77" s="220">
        <v>1.7639553429027113</v>
      </c>
      <c r="J77" s="221">
        <f t="shared" si="7"/>
        <v>-0.26362085448480688</v>
      </c>
      <c r="K77" s="220">
        <v>1.6341789052069426</v>
      </c>
      <c r="L77" s="221">
        <f t="shared" si="8"/>
        <v>-0.12977643769576863</v>
      </c>
      <c r="M77" s="220">
        <v>1.5071770334928229</v>
      </c>
      <c r="N77" s="221">
        <f t="shared" si="9"/>
        <v>-0.1270018717141197</v>
      </c>
    </row>
    <row r="78" spans="1:15" x14ac:dyDescent="0.25">
      <c r="A78" s="1">
        <v>4</v>
      </c>
      <c r="B78" s="145" t="s">
        <v>79</v>
      </c>
      <c r="C78" s="220" t="s">
        <v>233</v>
      </c>
      <c r="D78" s="221" t="s">
        <v>233</v>
      </c>
      <c r="E78" s="220">
        <v>1.802</v>
      </c>
      <c r="F78" s="221" t="str">
        <f>IFERROR(E78-C78,"-")</f>
        <v>-</v>
      </c>
      <c r="G78" s="220">
        <v>1.7791455467052861</v>
      </c>
      <c r="H78" s="221">
        <f>IFERROR(G78-E78,"-")</f>
        <v>-2.2854453294713917E-2</v>
      </c>
      <c r="I78" s="220">
        <v>1.6530958439355385</v>
      </c>
      <c r="J78" s="221">
        <f>IFERROR(I78-G78,"-")</f>
        <v>-0.12604970276974758</v>
      </c>
      <c r="K78" s="220">
        <v>1.5410292072322671</v>
      </c>
      <c r="L78" s="221">
        <f>IFERROR(K78-I78,"-")</f>
        <v>-0.11206663670327144</v>
      </c>
      <c r="M78" s="220">
        <v>1.6036144578313254</v>
      </c>
      <c r="N78" s="221">
        <f t="shared" si="9"/>
        <v>6.2585250599058284E-2</v>
      </c>
    </row>
    <row r="79" spans="1:15" x14ac:dyDescent="0.25">
      <c r="A79" s="1">
        <v>5</v>
      </c>
      <c r="B79" s="145" t="s">
        <v>81</v>
      </c>
      <c r="C79" s="220" t="s">
        <v>233</v>
      </c>
      <c r="D79" s="221" t="s">
        <v>233</v>
      </c>
      <c r="E79" s="220">
        <v>1.8181818181818181</v>
      </c>
      <c r="F79" s="221" t="str">
        <f t="shared" ref="F79:J87" si="10">IFERROR(E79-C79,"-")</f>
        <v>-</v>
      </c>
      <c r="G79" s="220">
        <v>1.6295938104448742</v>
      </c>
      <c r="H79" s="221">
        <f t="shared" si="10"/>
        <v>-0.18858800773694395</v>
      </c>
      <c r="I79" s="220">
        <v>1.5585851142225498</v>
      </c>
      <c r="J79" s="221">
        <f t="shared" si="10"/>
        <v>-7.1008696222324419E-2</v>
      </c>
      <c r="K79" s="220">
        <v>1.5757152826238661</v>
      </c>
      <c r="L79" s="221">
        <f t="shared" ref="L79:L87" si="11">IFERROR(K79-I79,"-")</f>
        <v>1.7130168401316315E-2</v>
      </c>
      <c r="M79" s="220">
        <v>2.2342978122794634</v>
      </c>
      <c r="N79" s="221">
        <f t="shared" si="9"/>
        <v>0.65858252965559738</v>
      </c>
    </row>
    <row r="80" spans="1:15" x14ac:dyDescent="0.25">
      <c r="A80" s="1">
        <v>6</v>
      </c>
      <c r="B80" s="145" t="s">
        <v>83</v>
      </c>
      <c r="C80" s="220" t="s">
        <v>233</v>
      </c>
      <c r="D80" s="221" t="s">
        <v>233</v>
      </c>
      <c r="E80" s="220">
        <v>1.61</v>
      </c>
      <c r="F80" s="221" t="str">
        <f t="shared" si="10"/>
        <v>-</v>
      </c>
      <c r="G80" s="220">
        <v>2.284170718530524</v>
      </c>
      <c r="H80" s="221">
        <f t="shared" si="10"/>
        <v>0.6741707185305239</v>
      </c>
      <c r="I80" s="220">
        <v>1.4254278728606358</v>
      </c>
      <c r="J80" s="221">
        <f t="shared" si="10"/>
        <v>-0.85874284566988823</v>
      </c>
      <c r="K80" s="220">
        <v>1.6256983240223464</v>
      </c>
      <c r="L80" s="221">
        <f t="shared" si="11"/>
        <v>0.20027045116171061</v>
      </c>
      <c r="M80" s="220">
        <v>3.0352250489236789</v>
      </c>
      <c r="N80" s="221">
        <f t="shared" si="9"/>
        <v>1.4095267249013326</v>
      </c>
    </row>
    <row r="81" spans="1:15" x14ac:dyDescent="0.25">
      <c r="A81" s="1">
        <v>7</v>
      </c>
      <c r="B81" s="145" t="s">
        <v>85</v>
      </c>
      <c r="C81" s="220" t="s">
        <v>233</v>
      </c>
      <c r="D81" s="221" t="s">
        <v>233</v>
      </c>
      <c r="E81" s="220">
        <v>1.8904761904761904</v>
      </c>
      <c r="F81" s="221" t="str">
        <f t="shared" si="10"/>
        <v>-</v>
      </c>
      <c r="G81" s="220">
        <v>1.6701816051552432</v>
      </c>
      <c r="H81" s="221">
        <f t="shared" si="10"/>
        <v>-0.22029458532094726</v>
      </c>
      <c r="I81" s="220">
        <v>1.6567411083540116</v>
      </c>
      <c r="J81" s="221">
        <f t="shared" si="10"/>
        <v>-1.3440496801231605E-2</v>
      </c>
      <c r="K81" s="220">
        <v>1.6503712871287128</v>
      </c>
      <c r="L81" s="221">
        <f t="shared" si="11"/>
        <v>-6.3698212252987219E-3</v>
      </c>
      <c r="M81" s="220">
        <v>2.5207823960880194</v>
      </c>
      <c r="N81" s="221">
        <f t="shared" si="9"/>
        <v>0.87041110895930651</v>
      </c>
    </row>
    <row r="82" spans="1:15" x14ac:dyDescent="0.25">
      <c r="A82" s="1">
        <v>8</v>
      </c>
      <c r="B82" s="145" t="s">
        <v>87</v>
      </c>
      <c r="C82" s="220">
        <v>2.2756916996047432</v>
      </c>
      <c r="D82" s="221">
        <v>0.54027378018201322</v>
      </c>
      <c r="E82" s="220">
        <v>2.1489698890649764</v>
      </c>
      <c r="F82" s="221">
        <f t="shared" si="10"/>
        <v>-0.12672181053976672</v>
      </c>
      <c r="G82" s="220">
        <v>2.0297914597815292</v>
      </c>
      <c r="H82" s="221">
        <f t="shared" si="10"/>
        <v>-0.11917842928344724</v>
      </c>
      <c r="I82" s="220">
        <v>1.88047255038221</v>
      </c>
      <c r="J82" s="221">
        <f t="shared" si="10"/>
        <v>-0.14931890939931924</v>
      </c>
      <c r="K82" s="220">
        <v>6.2045454545454541</v>
      </c>
      <c r="L82" s="221">
        <f t="shared" si="11"/>
        <v>4.324072904163244</v>
      </c>
      <c r="M82" s="220">
        <v>2.2795765877957659</v>
      </c>
      <c r="N82" s="221">
        <f t="shared" si="9"/>
        <v>-3.9249688667496883</v>
      </c>
    </row>
    <row r="83" spans="1:15" x14ac:dyDescent="0.25">
      <c r="A83" s="1">
        <v>9</v>
      </c>
      <c r="B83" s="145" t="s">
        <v>89</v>
      </c>
      <c r="C83" s="220">
        <v>1.9263622974963182</v>
      </c>
      <c r="D83" s="221">
        <v>0.29314674979313793</v>
      </c>
      <c r="E83" s="220">
        <v>2.0593333333333335</v>
      </c>
      <c r="F83" s="221">
        <f t="shared" si="10"/>
        <v>0.13297103583701531</v>
      </c>
      <c r="G83" s="220">
        <v>1.6768038163387</v>
      </c>
      <c r="H83" s="221">
        <f t="shared" si="10"/>
        <v>-0.38252951699463345</v>
      </c>
      <c r="I83" s="220">
        <v>1.6394849785407726</v>
      </c>
      <c r="J83" s="221">
        <f t="shared" si="10"/>
        <v>-3.731883779792744E-2</v>
      </c>
      <c r="K83" s="220">
        <v>1.5297823596792668</v>
      </c>
      <c r="L83" s="221">
        <f t="shared" si="11"/>
        <v>-0.10970261886150579</v>
      </c>
      <c r="M83" s="220">
        <v>1.6881419234360411</v>
      </c>
      <c r="N83" s="221">
        <f t="shared" si="9"/>
        <v>0.15835956375677429</v>
      </c>
    </row>
    <row r="84" spans="1:15" x14ac:dyDescent="0.25">
      <c r="A84" s="1">
        <v>10</v>
      </c>
      <c r="B84" s="145" t="s">
        <v>91</v>
      </c>
      <c r="C84" s="220">
        <v>1.5635062611806798</v>
      </c>
      <c r="D84" s="221">
        <v>-0.27092685219664481</v>
      </c>
      <c r="E84" s="220">
        <v>1.8203842940685047</v>
      </c>
      <c r="F84" s="221">
        <f t="shared" si="10"/>
        <v>0.25687803288782485</v>
      </c>
      <c r="G84" s="220">
        <v>1.8330078125</v>
      </c>
      <c r="H84" s="221">
        <f t="shared" si="10"/>
        <v>1.262351843149534E-2</v>
      </c>
      <c r="I84" s="220">
        <v>1.5839636913767019</v>
      </c>
      <c r="J84" s="221">
        <f t="shared" si="10"/>
        <v>-0.2490441211232981</v>
      </c>
      <c r="K84" s="220">
        <v>1.3544041450777202</v>
      </c>
      <c r="L84" s="221">
        <f t="shared" si="11"/>
        <v>-0.22955954629898168</v>
      </c>
      <c r="M84" s="220">
        <v>1.4695695200395844</v>
      </c>
      <c r="N84" s="221">
        <f t="shared" si="9"/>
        <v>0.11516537496186419</v>
      </c>
    </row>
    <row r="85" spans="1:15" x14ac:dyDescent="0.25">
      <c r="A85" s="1">
        <v>11</v>
      </c>
      <c r="B85" s="145" t="s">
        <v>93</v>
      </c>
      <c r="C85" s="220">
        <v>1.7890625</v>
      </c>
      <c r="D85" s="221">
        <v>0.13406249999999997</v>
      </c>
      <c r="E85" s="220">
        <v>1.7678843226788432</v>
      </c>
      <c r="F85" s="221">
        <f t="shared" si="10"/>
        <v>-2.1178177321156788E-2</v>
      </c>
      <c r="G85" s="220">
        <v>1.6467948717948717</v>
      </c>
      <c r="H85" s="221">
        <f t="shared" si="10"/>
        <v>-0.12108945088397149</v>
      </c>
      <c r="I85" s="220">
        <v>1.6020864381520119</v>
      </c>
      <c r="J85" s="221">
        <f t="shared" si="10"/>
        <v>-4.4708433642859813E-2</v>
      </c>
      <c r="K85" s="220">
        <v>2.5137096774193548</v>
      </c>
      <c r="L85" s="221">
        <f t="shared" si="11"/>
        <v>0.9116232392673429</v>
      </c>
      <c r="M85" s="220"/>
      <c r="N85" s="221"/>
    </row>
    <row r="86" spans="1:15" x14ac:dyDescent="0.25">
      <c r="A86" s="1">
        <v>12</v>
      </c>
      <c r="B86" s="145" t="s">
        <v>95</v>
      </c>
      <c r="C86" s="220">
        <v>2.3346354166666665</v>
      </c>
      <c r="D86" s="221">
        <v>0.19240100931677029</v>
      </c>
      <c r="E86" s="220">
        <v>1.6856368563685638</v>
      </c>
      <c r="F86" s="221">
        <f t="shared" si="10"/>
        <v>-0.64899856029810277</v>
      </c>
      <c r="G86" s="220">
        <v>1.653252480705623</v>
      </c>
      <c r="H86" s="221">
        <f t="shared" si="10"/>
        <v>-3.2384375662940723E-2</v>
      </c>
      <c r="I86" s="220">
        <v>1.6542783059636992</v>
      </c>
      <c r="J86" s="221">
        <f t="shared" si="10"/>
        <v>1.0258252580761518E-3</v>
      </c>
      <c r="K86" s="220">
        <v>1.7510204081632652</v>
      </c>
      <c r="L86" s="221">
        <f t="shared" si="11"/>
        <v>9.6742102199566027E-2</v>
      </c>
      <c r="M86" s="220"/>
      <c r="N86" s="221"/>
    </row>
    <row r="87" spans="1:15" ht="15.75" x14ac:dyDescent="0.25">
      <c r="B87" s="148" t="s">
        <v>32</v>
      </c>
      <c r="C87" s="222">
        <v>1.7905343159834177</v>
      </c>
      <c r="D87" s="223">
        <v>6.7410001254654572E-2</v>
      </c>
      <c r="E87" s="222">
        <v>1.8213798745568586</v>
      </c>
      <c r="F87" s="223">
        <f t="shared" si="10"/>
        <v>3.0845558573440846E-2</v>
      </c>
      <c r="G87" s="222">
        <v>1.8557308613174535</v>
      </c>
      <c r="H87" s="223">
        <f t="shared" si="10"/>
        <v>3.4350986760594893E-2</v>
      </c>
      <c r="I87" s="222">
        <v>1.6305721889554226</v>
      </c>
      <c r="J87" s="223">
        <f t="shared" si="10"/>
        <v>-0.22515867236203091</v>
      </c>
      <c r="K87" s="222">
        <v>1.8225141028879346</v>
      </c>
      <c r="L87" s="223">
        <f t="shared" si="11"/>
        <v>0.19194191393251203</v>
      </c>
      <c r="M87" s="222">
        <v>2.0208982584784603</v>
      </c>
      <c r="N87" s="223">
        <v>0.2804160941935252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296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107</v>
      </c>
    </row>
    <row r="94" spans="1:15" ht="22.5" thickTop="1" thickBot="1" x14ac:dyDescent="0.3">
      <c r="B94" s="152" t="s">
        <v>108</v>
      </c>
      <c r="C94" s="135" t="s">
        <v>109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v>2020</v>
      </c>
      <c r="D95" s="139"/>
      <c r="E95" s="140">
        <v>2021</v>
      </c>
      <c r="F95" s="139"/>
      <c r="G95" s="140">
        <v>2022</v>
      </c>
      <c r="H95" s="139"/>
      <c r="I95" s="140">
        <v>2023</v>
      </c>
      <c r="J95" s="139"/>
      <c r="K95" s="140">
        <v>2024</v>
      </c>
      <c r="L95" s="139"/>
      <c r="M95" s="140"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CONCATENATE("dif ",RIGHT(C95,2),"/",RIGHT(C95-1,2))</f>
        <v>dif 20/19</v>
      </c>
      <c r="E96" s="144" t="s">
        <v>71</v>
      </c>
      <c r="F96" s="143" t="str">
        <f>CONCATENATE("dif ",RIGHT(E95,2),"/",RIGHT(C95,2))</f>
        <v>dif 21/20</v>
      </c>
      <c r="G96" s="144" t="s">
        <v>71</v>
      </c>
      <c r="H96" s="143" t="str">
        <f>CONCATENATE("dif ",RIGHT(G95,2),"/",RIGHT(E95,2))</f>
        <v>dif 22/21</v>
      </c>
      <c r="I96" s="144" t="s">
        <v>71</v>
      </c>
      <c r="J96" s="143" t="str">
        <f>CONCATENATE("dif ",RIGHT(I95,2),"/",RIGHT(G95,2))</f>
        <v>dif 23/22</v>
      </c>
      <c r="K96" s="144" t="s">
        <v>71</v>
      </c>
      <c r="L96" s="143" t="str">
        <f>CONCATENATE("dif ",RIGHT(K95,2),"/",RIGHT(I95,2))</f>
        <v>dif 24/23</v>
      </c>
      <c r="M96" s="144" t="s">
        <v>71</v>
      </c>
      <c r="N96" s="143" t="str">
        <f>CONCATENATE("dif ",RIGHT(M95,2),"/",RIGHT(K95,2))</f>
        <v>dif 25/24</v>
      </c>
    </row>
    <row r="97" spans="2:14" x14ac:dyDescent="0.25">
      <c r="B97" s="145" t="s">
        <v>73</v>
      </c>
      <c r="C97" s="220">
        <v>3.6379794200187092</v>
      </c>
      <c r="D97" s="221">
        <v>6.1151970988376103E-2</v>
      </c>
      <c r="E97" s="220">
        <v>2.9219858156028371</v>
      </c>
      <c r="F97" s="221">
        <f t="shared" ref="F97:J99" si="12">IFERROR(E97-C97,"-")</f>
        <v>-0.71599360441587212</v>
      </c>
      <c r="G97" s="220">
        <v>3.7166476624857467</v>
      </c>
      <c r="H97" s="221">
        <f t="shared" si="12"/>
        <v>0.79466184688290964</v>
      </c>
      <c r="I97" s="220">
        <v>3.7108177172061327</v>
      </c>
      <c r="J97" s="221">
        <f t="shared" si="12"/>
        <v>-5.8299452796140017E-3</v>
      </c>
      <c r="K97" s="220">
        <v>3.5365131578947366</v>
      </c>
      <c r="L97" s="221">
        <f t="shared" ref="L97:L99" si="13">IFERROR(K97-I97,"-")</f>
        <v>-0.1743045593113961</v>
      </c>
      <c r="M97" s="220">
        <v>3.5494546822113575</v>
      </c>
      <c r="N97" s="221">
        <f t="shared" ref="N97:N106" si="14">IFERROR(M97-K97,"-")</f>
        <v>1.2941524316620878E-2</v>
      </c>
    </row>
    <row r="98" spans="2:14" x14ac:dyDescent="0.25">
      <c r="B98" s="145" t="s">
        <v>75</v>
      </c>
      <c r="C98" s="220">
        <v>3.9038294168842471</v>
      </c>
      <c r="D98" s="221">
        <v>-7.1833658099516029E-3</v>
      </c>
      <c r="E98" s="220">
        <v>3.0238907849829353</v>
      </c>
      <c r="F98" s="221">
        <f t="shared" si="12"/>
        <v>-0.87993863190131183</v>
      </c>
      <c r="G98" s="220">
        <v>3.5904365904365902</v>
      </c>
      <c r="H98" s="221">
        <f t="shared" si="12"/>
        <v>0.56654580545365496</v>
      </c>
      <c r="I98" s="220">
        <v>3.9253112033195019</v>
      </c>
      <c r="J98" s="221">
        <f t="shared" si="12"/>
        <v>0.33487461288291165</v>
      </c>
      <c r="K98" s="220">
        <v>3.8524279210925645</v>
      </c>
      <c r="L98" s="221">
        <f t="shared" si="13"/>
        <v>-7.2883282226937407E-2</v>
      </c>
      <c r="M98" s="220">
        <v>3.8060805258833197</v>
      </c>
      <c r="N98" s="221">
        <f t="shared" si="14"/>
        <v>-4.6347395209244802E-2</v>
      </c>
    </row>
    <row r="99" spans="2:14" x14ac:dyDescent="0.25">
      <c r="B99" s="145" t="s">
        <v>77</v>
      </c>
      <c r="C99" s="220">
        <v>4.0879629629629628</v>
      </c>
      <c r="D99" s="221">
        <v>0.25455293074943297</v>
      </c>
      <c r="E99" s="220">
        <v>2.6923913043478263</v>
      </c>
      <c r="F99" s="221">
        <f t="shared" si="12"/>
        <v>-1.3955716586151365</v>
      </c>
      <c r="G99" s="220">
        <v>3.5244789142026174</v>
      </c>
      <c r="H99" s="221">
        <f t="shared" si="12"/>
        <v>0.83208760985479113</v>
      </c>
      <c r="I99" s="220">
        <v>4.0907059874888292</v>
      </c>
      <c r="J99" s="221">
        <f t="shared" si="12"/>
        <v>0.5662270732862118</v>
      </c>
      <c r="K99" s="220">
        <v>3.9743690851735014</v>
      </c>
      <c r="L99" s="221">
        <f t="shared" si="13"/>
        <v>-0.11633690231532778</v>
      </c>
      <c r="M99" s="220">
        <v>3.5924777045366421</v>
      </c>
      <c r="N99" s="221">
        <f t="shared" si="14"/>
        <v>-0.38189138063685935</v>
      </c>
    </row>
    <row r="100" spans="2:14" x14ac:dyDescent="0.25">
      <c r="B100" s="145" t="s">
        <v>79</v>
      </c>
      <c r="C100" s="220" t="s">
        <v>233</v>
      </c>
      <c r="D100" s="221" t="s">
        <v>233</v>
      </c>
      <c r="E100" s="220">
        <v>2.7583643122676582</v>
      </c>
      <c r="F100" s="221" t="str">
        <f>IFERROR(E100-C100,"-")</f>
        <v>-</v>
      </c>
      <c r="G100" s="220">
        <v>4.3264177040110647</v>
      </c>
      <c r="H100" s="221">
        <f>IFERROR(G100-E100,"-")</f>
        <v>1.5680533917434065</v>
      </c>
      <c r="I100" s="220">
        <v>3.9248029108550635</v>
      </c>
      <c r="J100" s="221">
        <f>IFERROR(I100-G100,"-")</f>
        <v>-0.40161479315600124</v>
      </c>
      <c r="K100" s="220">
        <v>4.209223847019123</v>
      </c>
      <c r="L100" s="221">
        <f>IFERROR(K100-I100,"-")</f>
        <v>0.2844209361640595</v>
      </c>
      <c r="M100" s="220">
        <v>3.9579090291921251</v>
      </c>
      <c r="N100" s="221">
        <f t="shared" si="14"/>
        <v>-0.25131481782699794</v>
      </c>
    </row>
    <row r="101" spans="2:14" x14ac:dyDescent="0.25">
      <c r="B101" s="145" t="s">
        <v>81</v>
      </c>
      <c r="C101" s="220" t="s">
        <v>233</v>
      </c>
      <c r="D101" s="221" t="s">
        <v>233</v>
      </c>
      <c r="E101" s="220">
        <v>2.6357758620689653</v>
      </c>
      <c r="F101" s="221" t="str">
        <f t="shared" ref="F101:J109" si="15">IFERROR(E101-C101,"-")</f>
        <v>-</v>
      </c>
      <c r="G101" s="220">
        <v>4.19207579672696</v>
      </c>
      <c r="H101" s="221">
        <f t="shared" si="15"/>
        <v>1.5562999346579947</v>
      </c>
      <c r="I101" s="220">
        <v>3.8344733242134064</v>
      </c>
      <c r="J101" s="221">
        <f t="shared" si="15"/>
        <v>-0.35760247251355359</v>
      </c>
      <c r="K101" s="220">
        <v>4.2610619469026547</v>
      </c>
      <c r="L101" s="221">
        <f t="shared" ref="L101:L109" si="16">IFERROR(K101-I101,"-")</f>
        <v>0.42658862268924835</v>
      </c>
      <c r="M101" s="220">
        <v>3.9723160027008779</v>
      </c>
      <c r="N101" s="221">
        <f t="shared" si="14"/>
        <v>-0.28874594420177679</v>
      </c>
    </row>
    <row r="102" spans="2:14" x14ac:dyDescent="0.25">
      <c r="B102" s="145" t="s">
        <v>83</v>
      </c>
      <c r="C102" s="220" t="s">
        <v>233</v>
      </c>
      <c r="D102" s="221" t="s">
        <v>233</v>
      </c>
      <c r="E102" s="220">
        <v>3.8652849740932642</v>
      </c>
      <c r="F102" s="221" t="str">
        <f t="shared" si="15"/>
        <v>-</v>
      </c>
      <c r="G102" s="220">
        <v>3.5351063829787233</v>
      </c>
      <c r="H102" s="221">
        <f t="shared" si="15"/>
        <v>-0.33017859111454095</v>
      </c>
      <c r="I102" s="220">
        <v>4.2664437012263097</v>
      </c>
      <c r="J102" s="221">
        <f t="shared" si="15"/>
        <v>0.73133731824758641</v>
      </c>
      <c r="K102" s="220">
        <v>4.1506276150627617</v>
      </c>
      <c r="L102" s="221">
        <f t="shared" si="16"/>
        <v>-0.11581608616354799</v>
      </c>
      <c r="M102" s="220">
        <v>4.2305389221556888</v>
      </c>
      <c r="N102" s="221">
        <f t="shared" si="14"/>
        <v>7.9911307092927153E-2</v>
      </c>
    </row>
    <row r="103" spans="2:14" x14ac:dyDescent="0.25">
      <c r="B103" s="145" t="s">
        <v>85</v>
      </c>
      <c r="C103" s="220" t="s">
        <v>233</v>
      </c>
      <c r="D103" s="221" t="s">
        <v>233</v>
      </c>
      <c r="E103" s="220">
        <v>3.1094527363184081</v>
      </c>
      <c r="F103" s="221" t="str">
        <f t="shared" si="15"/>
        <v>-</v>
      </c>
      <c r="G103" s="220">
        <v>4.0482051282051286</v>
      </c>
      <c r="H103" s="221">
        <f t="shared" si="15"/>
        <v>0.93875239188672044</v>
      </c>
      <c r="I103" s="220">
        <v>2.8474870017331022</v>
      </c>
      <c r="J103" s="221">
        <f t="shared" si="15"/>
        <v>-1.2007181264720264</v>
      </c>
      <c r="K103" s="220">
        <v>2.9659685863874348</v>
      </c>
      <c r="L103" s="221">
        <f t="shared" si="16"/>
        <v>0.11848158465433256</v>
      </c>
      <c r="M103" s="220">
        <v>3.0176322418136019</v>
      </c>
      <c r="N103" s="221">
        <f t="shared" si="14"/>
        <v>5.1663655426167132E-2</v>
      </c>
    </row>
    <row r="104" spans="2:14" x14ac:dyDescent="0.25">
      <c r="B104" s="145" t="s">
        <v>87</v>
      </c>
      <c r="C104" s="220">
        <v>2.9937694704049846</v>
      </c>
      <c r="D104" s="221">
        <v>0.49028514984749316</v>
      </c>
      <c r="E104" s="220">
        <v>3.701880035810206</v>
      </c>
      <c r="F104" s="221">
        <f t="shared" si="15"/>
        <v>0.70811056540522133</v>
      </c>
      <c r="G104" s="220">
        <v>3.1591928251121075</v>
      </c>
      <c r="H104" s="221">
        <f t="shared" si="15"/>
        <v>-0.54268721069809844</v>
      </c>
      <c r="I104" s="220">
        <v>3.7085624509033779</v>
      </c>
      <c r="J104" s="221">
        <f t="shared" si="15"/>
        <v>0.54936962579127036</v>
      </c>
      <c r="K104" s="220">
        <v>3.8645215918712954</v>
      </c>
      <c r="L104" s="221">
        <f t="shared" si="16"/>
        <v>0.15595914096791752</v>
      </c>
      <c r="M104" s="220">
        <v>3.8751069289991444</v>
      </c>
      <c r="N104" s="221">
        <f t="shared" si="14"/>
        <v>1.0585337127849037E-2</v>
      </c>
    </row>
    <row r="105" spans="2:14" x14ac:dyDescent="0.25">
      <c r="B105" s="145" t="s">
        <v>89</v>
      </c>
      <c r="C105" s="220">
        <v>2.1490683229813663</v>
      </c>
      <c r="D105" s="221">
        <v>-0.57369432293303069</v>
      </c>
      <c r="E105" s="220">
        <v>3.7703703703703701</v>
      </c>
      <c r="F105" s="221">
        <f t="shared" si="15"/>
        <v>1.6213020473890039</v>
      </c>
      <c r="G105" s="220">
        <v>3.9607109448082318</v>
      </c>
      <c r="H105" s="221">
        <f t="shared" si="15"/>
        <v>0.19034057443786168</v>
      </c>
      <c r="I105" s="220">
        <v>3.6751536435469712</v>
      </c>
      <c r="J105" s="221">
        <f t="shared" si="15"/>
        <v>-0.28555730126126067</v>
      </c>
      <c r="K105" s="220">
        <v>3.9577889447236183</v>
      </c>
      <c r="L105" s="221">
        <f t="shared" si="16"/>
        <v>0.28263530117664715</v>
      </c>
      <c r="M105" s="220">
        <v>3.7310344827586208</v>
      </c>
      <c r="N105" s="221">
        <f t="shared" si="14"/>
        <v>-0.22675446196499749</v>
      </c>
    </row>
    <row r="106" spans="2:14" x14ac:dyDescent="0.25">
      <c r="B106" s="145" t="s">
        <v>91</v>
      </c>
      <c r="C106" s="220">
        <v>1.9975786924939467</v>
      </c>
      <c r="D106" s="221">
        <v>-1.0590250810909592</v>
      </c>
      <c r="E106" s="220">
        <v>4.9449321628092582</v>
      </c>
      <c r="F106" s="221">
        <f t="shared" si="15"/>
        <v>2.9473534703153117</v>
      </c>
      <c r="G106" s="220">
        <v>4.0375741595253789</v>
      </c>
      <c r="H106" s="221">
        <f t="shared" si="15"/>
        <v>-0.90735800328387928</v>
      </c>
      <c r="I106" s="220">
        <v>3.5069008782936009</v>
      </c>
      <c r="J106" s="221">
        <f t="shared" si="15"/>
        <v>-0.53067328123177804</v>
      </c>
      <c r="K106" s="220">
        <v>3.6727376209447922</v>
      </c>
      <c r="L106" s="221">
        <f t="shared" si="16"/>
        <v>0.1658367426511913</v>
      </c>
      <c r="M106" s="220">
        <v>3.8062322946175637</v>
      </c>
      <c r="N106" s="221">
        <f t="shared" si="14"/>
        <v>0.13349467367277157</v>
      </c>
    </row>
    <row r="107" spans="2:14" x14ac:dyDescent="0.25">
      <c r="B107" s="145" t="s">
        <v>93</v>
      </c>
      <c r="C107" s="220">
        <v>2.193293885601578</v>
      </c>
      <c r="D107" s="221">
        <v>-1.1308167863351808</v>
      </c>
      <c r="E107" s="220">
        <v>4.0615735461801599</v>
      </c>
      <c r="F107" s="221">
        <f t="shared" si="15"/>
        <v>1.8682796605785819</v>
      </c>
      <c r="G107" s="220">
        <v>4.2419738406658736</v>
      </c>
      <c r="H107" s="221">
        <f t="shared" si="15"/>
        <v>0.18040029448571371</v>
      </c>
      <c r="I107" s="220">
        <v>3.4946193702670385</v>
      </c>
      <c r="J107" s="221">
        <f t="shared" si="15"/>
        <v>-0.74735447039883507</v>
      </c>
      <c r="K107" s="220">
        <v>3.501834862385321</v>
      </c>
      <c r="L107" s="221">
        <f t="shared" si="16"/>
        <v>7.2154921182825404E-3</v>
      </c>
      <c r="M107" s="220"/>
      <c r="N107" s="221"/>
    </row>
    <row r="108" spans="2:14" x14ac:dyDescent="0.25">
      <c r="B108" s="145" t="s">
        <v>95</v>
      </c>
      <c r="C108" s="220">
        <v>2.4045801526717558</v>
      </c>
      <c r="D108" s="221">
        <v>-1.0129715521912961</v>
      </c>
      <c r="E108" s="220">
        <v>3.4735849056603771</v>
      </c>
      <c r="F108" s="221">
        <f t="shared" si="15"/>
        <v>1.0690047529886213</v>
      </c>
      <c r="G108" s="220">
        <v>3.3171001660210293</v>
      </c>
      <c r="H108" s="221">
        <f t="shared" si="15"/>
        <v>-0.15648473963934784</v>
      </c>
      <c r="I108" s="220">
        <v>3.5267099350973541</v>
      </c>
      <c r="J108" s="221">
        <f t="shared" si="15"/>
        <v>0.20960976907632478</v>
      </c>
      <c r="K108" s="220">
        <v>3.5074775672981056</v>
      </c>
      <c r="L108" s="221">
        <f t="shared" si="16"/>
        <v>-1.9232367799248529E-2</v>
      </c>
      <c r="M108" s="220"/>
      <c r="N108" s="221"/>
    </row>
    <row r="109" spans="2:14" ht="15.75" x14ac:dyDescent="0.25">
      <c r="B109" s="148" t="s">
        <v>32</v>
      </c>
      <c r="C109" s="222">
        <v>3.3236155159795073</v>
      </c>
      <c r="D109" s="223">
        <v>-4.349872101964003E-2</v>
      </c>
      <c r="E109" s="222">
        <v>3.5296277322404372</v>
      </c>
      <c r="F109" s="223">
        <f t="shared" si="15"/>
        <v>0.20601221626092991</v>
      </c>
      <c r="G109" s="222">
        <v>3.7794749943426114</v>
      </c>
      <c r="H109" s="223">
        <f t="shared" si="15"/>
        <v>0.24984726210217412</v>
      </c>
      <c r="I109" s="222">
        <v>3.714313677514069</v>
      </c>
      <c r="J109" s="223">
        <f t="shared" si="15"/>
        <v>-6.5161316828542315E-2</v>
      </c>
      <c r="K109" s="222">
        <v>3.7668196782120833</v>
      </c>
      <c r="L109" s="223">
        <f t="shared" si="16"/>
        <v>5.2506000698014255E-2</v>
      </c>
      <c r="M109" s="222">
        <v>3.7302075326671793</v>
      </c>
      <c r="N109" s="223">
        <v>-9.9779234492362701E-2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4" spans="1:15" ht="48.75" customHeight="1" thickBot="1" x14ac:dyDescent="0.3">
      <c r="B114" s="12" t="s">
        <v>297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110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111</v>
      </c>
    </row>
    <row r="116" spans="1:15" ht="22.5" thickTop="1" thickBot="1" x14ac:dyDescent="0.3">
      <c r="B116" s="152" t="str">
        <f>C116</f>
        <v>Reino Unido</v>
      </c>
      <c r="C116" s="135" t="s">
        <v>112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v>2020</v>
      </c>
      <c r="D117" s="139"/>
      <c r="E117" s="140">
        <v>2021</v>
      </c>
      <c r="F117" s="139"/>
      <c r="G117" s="140">
        <v>2022</v>
      </c>
      <c r="H117" s="139"/>
      <c r="I117" s="140">
        <v>2023</v>
      </c>
      <c r="J117" s="139"/>
      <c r="K117" s="140">
        <v>2024</v>
      </c>
      <c r="L117" s="139"/>
      <c r="M117" s="140">
        <v>2025</v>
      </c>
      <c r="N117" s="141"/>
    </row>
    <row r="118" spans="1:15" ht="16.5" thickTop="1" thickBot="1" x14ac:dyDescent="0.3">
      <c r="B118" s="109"/>
      <c r="C118" s="142" t="s">
        <v>71</v>
      </c>
      <c r="D118" s="143" t="str">
        <f>CONCATENATE("dif ",RIGHT(C117,2),"/",RIGHT(C117-1,2))</f>
        <v>dif 20/19</v>
      </c>
      <c r="E118" s="144" t="s">
        <v>71</v>
      </c>
      <c r="F118" s="143" t="str">
        <f>CONCATENATE("dif ",RIGHT(E117,2),"/",RIGHT(C117,2))</f>
        <v>dif 21/20</v>
      </c>
      <c r="G118" s="144" t="s">
        <v>71</v>
      </c>
      <c r="H118" s="143" t="str">
        <f>CONCATENATE("dif ",RIGHT(G117,2),"/",RIGHT(E117,2))</f>
        <v>dif 22/21</v>
      </c>
      <c r="I118" s="144" t="s">
        <v>71</v>
      </c>
      <c r="J118" s="143" t="str">
        <f>CONCATENATE("dif ",RIGHT(I117,2),"/",RIGHT(G117,2))</f>
        <v>dif 23/22</v>
      </c>
      <c r="K118" s="144" t="s">
        <v>71</v>
      </c>
      <c r="L118" s="143" t="str">
        <f>CONCATENATE("dif ",RIGHT(K117,2),"/",RIGHT(I117,2))</f>
        <v>dif 24/23</v>
      </c>
      <c r="M118" s="144" t="s">
        <v>71</v>
      </c>
      <c r="N118" s="143" t="str">
        <f>CONCATENATE("dif ",RIGHT(M117,2),"/",RIGHT(K117,2))</f>
        <v>dif 25/24</v>
      </c>
    </row>
    <row r="119" spans="1:15" x14ac:dyDescent="0.25">
      <c r="B119" s="145" t="s">
        <v>73</v>
      </c>
      <c r="C119" s="220">
        <v>4.0140056022408963</v>
      </c>
      <c r="D119" s="221">
        <v>-3.0637254901960453E-2</v>
      </c>
      <c r="E119" s="220">
        <v>1.6666666666666667</v>
      </c>
      <c r="F119" s="221">
        <f t="shared" ref="F119:J121" si="17">IFERROR(E119-C119,"-")</f>
        <v>-2.3473389355742293</v>
      </c>
      <c r="G119" s="220">
        <v>3.9061371841155235</v>
      </c>
      <c r="H119" s="221">
        <f t="shared" si="17"/>
        <v>2.2394705174488569</v>
      </c>
      <c r="I119" s="220">
        <v>4.534391534391534</v>
      </c>
      <c r="J119" s="221">
        <f t="shared" si="17"/>
        <v>0.62825435027601051</v>
      </c>
      <c r="K119" s="220">
        <v>3.3109619686800893</v>
      </c>
      <c r="L119" s="221">
        <f t="shared" ref="L119:L121" si="18">IFERROR(K119-I119,"-")</f>
        <v>-1.2234295657114447</v>
      </c>
      <c r="M119" s="220">
        <v>3.440203562340967</v>
      </c>
      <c r="N119" s="221">
        <f t="shared" ref="N119:N128" si="19">IFERROR(M119-K119,"-")</f>
        <v>0.12924159366087773</v>
      </c>
    </row>
    <row r="120" spans="1:15" x14ac:dyDescent="0.25">
      <c r="B120" s="145" t="s">
        <v>75</v>
      </c>
      <c r="C120" s="220">
        <v>4.5580952380952384</v>
      </c>
      <c r="D120" s="221">
        <v>0.33558214909000306</v>
      </c>
      <c r="E120" s="220">
        <v>1.8</v>
      </c>
      <c r="F120" s="221">
        <f t="shared" si="17"/>
        <v>-2.7580952380952386</v>
      </c>
      <c r="G120" s="220">
        <v>3.7969696969696969</v>
      </c>
      <c r="H120" s="221">
        <f t="shared" si="17"/>
        <v>1.9969696969696968</v>
      </c>
      <c r="I120" s="220">
        <v>4.2433090024330902</v>
      </c>
      <c r="J120" s="221">
        <f t="shared" si="17"/>
        <v>0.44633930546339329</v>
      </c>
      <c r="K120" s="220">
        <v>4.3813559322033901</v>
      </c>
      <c r="L120" s="221">
        <f t="shared" si="18"/>
        <v>0.13804692977029998</v>
      </c>
      <c r="M120" s="220">
        <v>3.6422594142259412</v>
      </c>
      <c r="N120" s="221">
        <f t="shared" si="19"/>
        <v>-0.73909651797744891</v>
      </c>
    </row>
    <row r="121" spans="1:15" x14ac:dyDescent="0.25">
      <c r="B121" s="145" t="s">
        <v>77</v>
      </c>
      <c r="C121" s="220">
        <v>5.4910714285714288</v>
      </c>
      <c r="D121" s="221">
        <v>1.7039092664092665</v>
      </c>
      <c r="E121" s="220">
        <v>1.2571428571428571</v>
      </c>
      <c r="F121" s="221">
        <f t="shared" si="17"/>
        <v>-4.2339285714285717</v>
      </c>
      <c r="G121" s="220">
        <v>3.5324675324675323</v>
      </c>
      <c r="H121" s="221">
        <f t="shared" si="17"/>
        <v>2.2753246753246752</v>
      </c>
      <c r="I121" s="220">
        <v>4.5290697674418601</v>
      </c>
      <c r="J121" s="221">
        <f t="shared" si="17"/>
        <v>0.99660223497432776</v>
      </c>
      <c r="K121" s="220">
        <v>4.2471910112359552</v>
      </c>
      <c r="L121" s="221">
        <f t="shared" si="18"/>
        <v>-0.28187875620590486</v>
      </c>
      <c r="M121" s="220">
        <v>3.9305993690851735</v>
      </c>
      <c r="N121" s="221">
        <f t="shared" si="19"/>
        <v>-0.31659164215078173</v>
      </c>
    </row>
    <row r="122" spans="1:15" x14ac:dyDescent="0.25">
      <c r="B122" s="145" t="s">
        <v>79</v>
      </c>
      <c r="C122" s="220" t="s">
        <v>233</v>
      </c>
      <c r="D122" s="221" t="s">
        <v>233</v>
      </c>
      <c r="E122" s="220">
        <v>3.2352941176470589</v>
      </c>
      <c r="F122" s="221" t="str">
        <f>IFERROR(E122-C122,"-")</f>
        <v>-</v>
      </c>
      <c r="G122" s="220">
        <v>4.1937984496124034</v>
      </c>
      <c r="H122" s="221">
        <f>IFERROR(G122-E122,"-")</f>
        <v>0.95850433196534457</v>
      </c>
      <c r="I122" s="220">
        <v>4.4000000000000004</v>
      </c>
      <c r="J122" s="221">
        <f>IFERROR(I122-G122,"-")</f>
        <v>0.20620155038759691</v>
      </c>
      <c r="K122" s="220">
        <v>5.560483870967742</v>
      </c>
      <c r="L122" s="221">
        <f>IFERROR(K122-I122,"-")</f>
        <v>1.1604838709677416</v>
      </c>
      <c r="M122" s="220">
        <v>5.1338582677165352</v>
      </c>
      <c r="N122" s="221">
        <f t="shared" si="19"/>
        <v>-0.4266256032512068</v>
      </c>
    </row>
    <row r="123" spans="1:15" x14ac:dyDescent="0.25">
      <c r="B123" s="145" t="s">
        <v>81</v>
      </c>
      <c r="C123" s="220" t="s">
        <v>233</v>
      </c>
      <c r="D123" s="221" t="s">
        <v>233</v>
      </c>
      <c r="E123" s="220">
        <v>2.3157894736842106</v>
      </c>
      <c r="F123" s="221" t="str">
        <f t="shared" ref="F123:J131" si="20">IFERROR(E123-C123,"-")</f>
        <v>-</v>
      </c>
      <c r="G123" s="220">
        <v>3.6643356643356642</v>
      </c>
      <c r="H123" s="221">
        <f t="shared" si="20"/>
        <v>1.3485461906514535</v>
      </c>
      <c r="I123" s="220">
        <v>3.6912751677852347</v>
      </c>
      <c r="J123" s="221">
        <f t="shared" si="20"/>
        <v>2.6939503449570523E-2</v>
      </c>
      <c r="K123" s="220">
        <v>5.503759398496241</v>
      </c>
      <c r="L123" s="221">
        <f t="shared" ref="L123:L131" si="21">IFERROR(K123-I123,"-")</f>
        <v>1.8124842307110063</v>
      </c>
      <c r="M123" s="220">
        <v>3.8870967741935485</v>
      </c>
      <c r="N123" s="221">
        <f t="shared" si="19"/>
        <v>-1.6166626243026925</v>
      </c>
    </row>
    <row r="124" spans="1:15" x14ac:dyDescent="0.25">
      <c r="B124" s="145" t="s">
        <v>83</v>
      </c>
      <c r="C124" s="220" t="s">
        <v>233</v>
      </c>
      <c r="D124" s="221" t="s">
        <v>233</v>
      </c>
      <c r="E124" s="220">
        <v>4.84</v>
      </c>
      <c r="F124" s="221" t="str">
        <f t="shared" si="20"/>
        <v>-</v>
      </c>
      <c r="G124" s="220">
        <v>4.416666666666667</v>
      </c>
      <c r="H124" s="221">
        <f t="shared" si="20"/>
        <v>-0.4233333333333329</v>
      </c>
      <c r="I124" s="220">
        <v>4.112903225806452</v>
      </c>
      <c r="J124" s="221">
        <f t="shared" si="20"/>
        <v>-0.30376344086021501</v>
      </c>
      <c r="K124" s="220">
        <v>4.71</v>
      </c>
      <c r="L124" s="221">
        <f t="shared" si="21"/>
        <v>0.59709677419354801</v>
      </c>
      <c r="M124" s="220">
        <v>4</v>
      </c>
      <c r="N124" s="221">
        <f t="shared" si="19"/>
        <v>-0.71</v>
      </c>
    </row>
    <row r="125" spans="1:15" x14ac:dyDescent="0.25">
      <c r="B125" s="145" t="s">
        <v>85</v>
      </c>
      <c r="C125" s="220" t="s">
        <v>233</v>
      </c>
      <c r="D125" s="221" t="s">
        <v>233</v>
      </c>
      <c r="E125" s="220">
        <v>3.7551020408163267</v>
      </c>
      <c r="F125" s="221" t="str">
        <f t="shared" si="20"/>
        <v>-</v>
      </c>
      <c r="G125" s="220">
        <v>5.5609756097560972</v>
      </c>
      <c r="H125" s="221">
        <f t="shared" si="20"/>
        <v>1.8058735689397705</v>
      </c>
      <c r="I125" s="220">
        <v>2.7749999999999999</v>
      </c>
      <c r="J125" s="221">
        <f t="shared" si="20"/>
        <v>-2.7859756097560973</v>
      </c>
      <c r="K125" s="220">
        <v>2.5705128205128207</v>
      </c>
      <c r="L125" s="221">
        <f t="shared" si="21"/>
        <v>-0.2044871794871792</v>
      </c>
      <c r="M125" s="220">
        <v>2.9057971014492754</v>
      </c>
      <c r="N125" s="221">
        <f t="shared" si="19"/>
        <v>0.33528428093645468</v>
      </c>
    </row>
    <row r="126" spans="1:15" x14ac:dyDescent="0.25">
      <c r="B126" s="145" t="s">
        <v>87</v>
      </c>
      <c r="C126" s="220">
        <v>2.75</v>
      </c>
      <c r="D126" s="221">
        <v>0.15697674418604635</v>
      </c>
      <c r="E126" s="220">
        <v>5.2531645569620249</v>
      </c>
      <c r="F126" s="221">
        <f t="shared" si="20"/>
        <v>2.5031645569620249</v>
      </c>
      <c r="G126" s="220">
        <v>4.4220183486238529</v>
      </c>
      <c r="H126" s="221">
        <f t="shared" si="20"/>
        <v>-0.83114620833817199</v>
      </c>
      <c r="I126" s="220">
        <v>3.7320261437908497</v>
      </c>
      <c r="J126" s="221">
        <f t="shared" si="20"/>
        <v>-0.68999220483300316</v>
      </c>
      <c r="K126" s="220">
        <v>4.6885245901639347</v>
      </c>
      <c r="L126" s="221">
        <f t="shared" si="21"/>
        <v>0.95649844637308501</v>
      </c>
      <c r="M126" s="220">
        <v>4.5194805194805197</v>
      </c>
      <c r="N126" s="221">
        <f t="shared" si="19"/>
        <v>-0.16904407068341509</v>
      </c>
    </row>
    <row r="127" spans="1:15" x14ac:dyDescent="0.25">
      <c r="B127" s="145" t="s">
        <v>89</v>
      </c>
      <c r="C127" s="220">
        <v>1.75</v>
      </c>
      <c r="D127" s="221">
        <v>-0.86702127659574479</v>
      </c>
      <c r="E127" s="220">
        <v>3.7397260273972601</v>
      </c>
      <c r="F127" s="221">
        <f t="shared" si="20"/>
        <v>1.9897260273972601</v>
      </c>
      <c r="G127" s="220">
        <v>4.4294478527607364</v>
      </c>
      <c r="H127" s="221">
        <f t="shared" si="20"/>
        <v>0.68972182536347626</v>
      </c>
      <c r="I127" s="220">
        <v>4.6111111111111107</v>
      </c>
      <c r="J127" s="221">
        <f t="shared" si="20"/>
        <v>0.18166325835037433</v>
      </c>
      <c r="K127" s="220">
        <v>4.2195121951219514</v>
      </c>
      <c r="L127" s="221">
        <f t="shared" si="21"/>
        <v>-0.3915989159891593</v>
      </c>
      <c r="M127" s="220">
        <v>4.3063063063063067</v>
      </c>
      <c r="N127" s="221">
        <f t="shared" si="19"/>
        <v>8.6794111184355316E-2</v>
      </c>
    </row>
    <row r="128" spans="1:15" x14ac:dyDescent="0.25">
      <c r="A128" s="151"/>
      <c r="B128" s="145" t="s">
        <v>91</v>
      </c>
      <c r="C128" s="220">
        <v>1.8</v>
      </c>
      <c r="D128" s="221">
        <v>-0.38181818181818161</v>
      </c>
      <c r="E128" s="220">
        <v>4.6441717791411046</v>
      </c>
      <c r="F128" s="221">
        <f t="shared" si="20"/>
        <v>2.8441717791411048</v>
      </c>
      <c r="G128" s="220">
        <v>3.862857142857143</v>
      </c>
      <c r="H128" s="221">
        <f t="shared" si="20"/>
        <v>-0.78131463628396158</v>
      </c>
      <c r="I128" s="220">
        <v>3.6555555555555554</v>
      </c>
      <c r="J128" s="221">
        <f t="shared" si="20"/>
        <v>-0.20730158730158754</v>
      </c>
      <c r="K128" s="220">
        <v>4.166666666666667</v>
      </c>
      <c r="L128" s="221">
        <f t="shared" si="21"/>
        <v>0.51111111111111152</v>
      </c>
      <c r="M128" s="220">
        <v>4.6011904761904763</v>
      </c>
      <c r="N128" s="221">
        <f t="shared" si="19"/>
        <v>0.43452380952380931</v>
      </c>
    </row>
    <row r="129" spans="2:15" x14ac:dyDescent="0.25">
      <c r="B129" s="145" t="s">
        <v>93</v>
      </c>
      <c r="C129" s="220">
        <v>2.1458333333333335</v>
      </c>
      <c r="D129" s="221">
        <v>-0.56693262411347511</v>
      </c>
      <c r="E129" s="220">
        <v>3.4688796680497926</v>
      </c>
      <c r="F129" s="221">
        <f t="shared" si="20"/>
        <v>1.3230463347164592</v>
      </c>
      <c r="G129" s="220">
        <v>3.5871212121212119</v>
      </c>
      <c r="H129" s="221">
        <f t="shared" si="20"/>
        <v>0.11824154407141929</v>
      </c>
      <c r="I129" s="220">
        <v>3.0539568345323742</v>
      </c>
      <c r="J129" s="221">
        <f t="shared" si="20"/>
        <v>-0.53316437758883772</v>
      </c>
      <c r="K129" s="220">
        <v>3.359375</v>
      </c>
      <c r="L129" s="221">
        <f t="shared" si="21"/>
        <v>0.30541816546762579</v>
      </c>
      <c r="M129" s="220"/>
      <c r="N129" s="221"/>
    </row>
    <row r="130" spans="2:15" x14ac:dyDescent="0.25">
      <c r="B130" s="145" t="s">
        <v>95</v>
      </c>
      <c r="C130" s="220">
        <v>1.8378378378378379</v>
      </c>
      <c r="D130" s="221">
        <v>-1.5261972498814604</v>
      </c>
      <c r="E130" s="220">
        <v>3.9766081871345027</v>
      </c>
      <c r="F130" s="221">
        <f t="shared" si="20"/>
        <v>2.1387703492966645</v>
      </c>
      <c r="G130" s="220">
        <v>3.1287128712871288</v>
      </c>
      <c r="H130" s="221">
        <f t="shared" si="20"/>
        <v>-0.84789531584737388</v>
      </c>
      <c r="I130" s="220">
        <v>3.865203761755486</v>
      </c>
      <c r="J130" s="221">
        <f t="shared" si="20"/>
        <v>0.73649089046835714</v>
      </c>
      <c r="K130" s="220">
        <v>3.3038461538461537</v>
      </c>
      <c r="L130" s="221">
        <f t="shared" si="21"/>
        <v>-0.56135760790933231</v>
      </c>
      <c r="M130" s="220"/>
      <c r="N130" s="221"/>
    </row>
    <row r="131" spans="2:15" ht="15.75" x14ac:dyDescent="0.25">
      <c r="B131" s="148" t="s">
        <v>32</v>
      </c>
      <c r="C131" s="222">
        <v>3.8967391304347827</v>
      </c>
      <c r="D131" s="223">
        <v>0.55844916760950403</v>
      </c>
      <c r="E131" s="222">
        <v>3.7937024972855591</v>
      </c>
      <c r="F131" s="223">
        <f t="shared" si="20"/>
        <v>-0.10303663314922362</v>
      </c>
      <c r="G131" s="222">
        <v>3.8489388264669162</v>
      </c>
      <c r="H131" s="223">
        <f t="shared" si="20"/>
        <v>5.5236329181357124E-2</v>
      </c>
      <c r="I131" s="222">
        <v>3.9989266547406084</v>
      </c>
      <c r="J131" s="223">
        <f t="shared" si="20"/>
        <v>0.14998782827369217</v>
      </c>
      <c r="K131" s="222">
        <v>4.0580858085808584</v>
      </c>
      <c r="L131" s="223">
        <f t="shared" si="21"/>
        <v>5.9159153840250056E-2</v>
      </c>
      <c r="M131" s="222">
        <v>3.8734115347018574</v>
      </c>
      <c r="N131" s="223">
        <v>-0.35597622040018306</v>
      </c>
    </row>
    <row r="132" spans="2:15" ht="6" customHeight="1" x14ac:dyDescent="0.25"/>
    <row r="133" spans="2:15" x14ac:dyDescent="0.25">
      <c r="B133" s="131" t="s">
        <v>57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K134" s="151"/>
      <c r="M134" s="151"/>
      <c r="N134" s="153"/>
    </row>
    <row r="136" spans="2:15" ht="48.75" customHeight="1" thickBot="1" x14ac:dyDescent="0.3">
      <c r="B136" s="12" t="s">
        <v>298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113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114</v>
      </c>
    </row>
    <row r="138" spans="2:15" ht="22.5" thickTop="1" thickBot="1" x14ac:dyDescent="0.3">
      <c r="B138" s="152" t="str">
        <f>C138</f>
        <v>Alemania</v>
      </c>
      <c r="C138" s="135" t="s">
        <v>115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v>2020</v>
      </c>
      <c r="D139" s="139"/>
      <c r="E139" s="140">
        <v>2021</v>
      </c>
      <c r="F139" s="139"/>
      <c r="G139" s="140">
        <v>2022</v>
      </c>
      <c r="H139" s="139"/>
      <c r="I139" s="140">
        <v>2023</v>
      </c>
      <c r="J139" s="139"/>
      <c r="K139" s="140">
        <v>2024</v>
      </c>
      <c r="L139" s="139"/>
      <c r="M139" s="140">
        <v>2025</v>
      </c>
      <c r="N139" s="141"/>
    </row>
    <row r="140" spans="2:15" ht="16.5" thickTop="1" thickBot="1" x14ac:dyDescent="0.3">
      <c r="B140" s="109"/>
      <c r="C140" s="142" t="s">
        <v>71</v>
      </c>
      <c r="D140" s="143" t="str">
        <f>CONCATENATE("dif ",RIGHT(C139,2),"/",RIGHT(C139-1,2))</f>
        <v>dif 20/19</v>
      </c>
      <c r="E140" s="144" t="s">
        <v>71</v>
      </c>
      <c r="F140" s="143" t="str">
        <f>CONCATENATE("dif ",RIGHT(E139,2),"/",RIGHT(C139,2))</f>
        <v>dif 21/20</v>
      </c>
      <c r="G140" s="144" t="s">
        <v>71</v>
      </c>
      <c r="H140" s="143" t="str">
        <f>CONCATENATE("dif ",RIGHT(G139,2),"/",RIGHT(E139,2))</f>
        <v>dif 22/21</v>
      </c>
      <c r="I140" s="144" t="s">
        <v>71</v>
      </c>
      <c r="J140" s="143" t="str">
        <f>CONCATENATE("dif ",RIGHT(I139,2),"/",RIGHT(G139,2))</f>
        <v>dif 23/22</v>
      </c>
      <c r="K140" s="144" t="s">
        <v>71</v>
      </c>
      <c r="L140" s="143" t="str">
        <f>CONCATENATE("dif ",RIGHT(K139,2),"/",RIGHT(I139,2))</f>
        <v>dif 24/23</v>
      </c>
      <c r="M140" s="144" t="s">
        <v>71</v>
      </c>
      <c r="N140" s="143" t="str">
        <f>CONCATENATE("dif ",RIGHT(M139,2),"/",RIGHT(K139,2))</f>
        <v>dif 25/24</v>
      </c>
    </row>
    <row r="141" spans="2:15" x14ac:dyDescent="0.25">
      <c r="B141" s="145" t="s">
        <v>73</v>
      </c>
      <c r="C141" s="220">
        <v>5.9742388758782203</v>
      </c>
      <c r="D141" s="221">
        <v>-0.5468137557007271</v>
      </c>
      <c r="E141" s="220">
        <v>5.7640449438202248</v>
      </c>
      <c r="F141" s="221">
        <f t="shared" ref="F141:J143" si="22">IFERROR(E141-C141,"-")</f>
        <v>-0.21019393205799553</v>
      </c>
      <c r="G141" s="220">
        <v>5.7216828478964405</v>
      </c>
      <c r="H141" s="221">
        <f t="shared" si="22"/>
        <v>-4.236209592378426E-2</v>
      </c>
      <c r="I141" s="220">
        <v>5.8413043478260871</v>
      </c>
      <c r="J141" s="221">
        <f t="shared" si="22"/>
        <v>0.11962149992964655</v>
      </c>
      <c r="K141" s="220">
        <v>5.5225505443234839</v>
      </c>
      <c r="L141" s="221">
        <f t="shared" ref="L141:L143" si="23">IFERROR(K141-I141,"-")</f>
        <v>-0.31875380350260318</v>
      </c>
      <c r="M141" s="220">
        <v>5.0589353612167303</v>
      </c>
      <c r="N141" s="221">
        <f t="shared" ref="N141:N150" si="24">IFERROR(M141-K141,"-")</f>
        <v>-0.46361518310675365</v>
      </c>
    </row>
    <row r="142" spans="2:15" x14ac:dyDescent="0.25">
      <c r="B142" s="145" t="s">
        <v>75</v>
      </c>
      <c r="C142" s="220">
        <v>5.5458515283842793</v>
      </c>
      <c r="D142" s="221">
        <v>-0.46253421585052124</v>
      </c>
      <c r="E142" s="220">
        <v>6.0217391304347823</v>
      </c>
      <c r="F142" s="221">
        <f t="shared" si="22"/>
        <v>0.47588760205050296</v>
      </c>
      <c r="G142" s="220">
        <v>6.0282051282051281</v>
      </c>
      <c r="H142" s="221">
        <f t="shared" si="22"/>
        <v>6.4659977703458438E-3</v>
      </c>
      <c r="I142" s="220">
        <v>6.4454545454545453</v>
      </c>
      <c r="J142" s="221">
        <f t="shared" si="22"/>
        <v>0.41724941724941722</v>
      </c>
      <c r="K142" s="220">
        <v>5.8026070763500934</v>
      </c>
      <c r="L142" s="221">
        <f t="shared" si="23"/>
        <v>-0.6428474691044519</v>
      </c>
      <c r="M142" s="220">
        <v>6.4574257425742578</v>
      </c>
      <c r="N142" s="221">
        <f t="shared" si="24"/>
        <v>0.6548186662241644</v>
      </c>
    </row>
    <row r="143" spans="2:15" x14ac:dyDescent="0.25">
      <c r="B143" s="145" t="s">
        <v>77</v>
      </c>
      <c r="C143" s="220">
        <v>7.397849462365591</v>
      </c>
      <c r="D143" s="221">
        <v>2.4376583795630431</v>
      </c>
      <c r="E143" s="220">
        <v>4.9820359281437128</v>
      </c>
      <c r="F143" s="221">
        <f t="shared" si="22"/>
        <v>-2.4158135342218783</v>
      </c>
      <c r="G143" s="220">
        <v>5.8561484918793507</v>
      </c>
      <c r="H143" s="221">
        <f t="shared" si="22"/>
        <v>0.87411256373563795</v>
      </c>
      <c r="I143" s="220">
        <v>6.64</v>
      </c>
      <c r="J143" s="221">
        <f t="shared" si="22"/>
        <v>0.78385150812064897</v>
      </c>
      <c r="K143" s="220">
        <v>5.9575221238938054</v>
      </c>
      <c r="L143" s="221">
        <f t="shared" si="23"/>
        <v>-0.68247787610619426</v>
      </c>
      <c r="M143" s="220">
        <v>6.3815028901734108</v>
      </c>
      <c r="N143" s="221">
        <f t="shared" si="24"/>
        <v>0.42398076627960535</v>
      </c>
    </row>
    <row r="144" spans="2:15" x14ac:dyDescent="0.25">
      <c r="B144" s="145" t="s">
        <v>79</v>
      </c>
      <c r="C144" s="220" t="s">
        <v>233</v>
      </c>
      <c r="D144" s="221" t="s">
        <v>233</v>
      </c>
      <c r="E144" s="220">
        <v>6.3734939759036147</v>
      </c>
      <c r="F144" s="221" t="str">
        <f>IFERROR(E144-C144,"-")</f>
        <v>-</v>
      </c>
      <c r="G144" s="220">
        <v>6.5965909090909092</v>
      </c>
      <c r="H144" s="221">
        <f>IFERROR(G144-E144,"-")</f>
        <v>0.22309693318729451</v>
      </c>
      <c r="I144" s="220">
        <v>6.6480446927374306</v>
      </c>
      <c r="J144" s="221">
        <f>IFERROR(I144-G144,"-")</f>
        <v>5.1453783646521423E-2</v>
      </c>
      <c r="K144" s="220">
        <v>6.6465517241379306</v>
      </c>
      <c r="L144" s="221">
        <f>IFERROR(K144-I144,"-")</f>
        <v>-1.4929685994999886E-3</v>
      </c>
      <c r="M144" s="220">
        <v>6.349152542372881</v>
      </c>
      <c r="N144" s="221">
        <f t="shared" si="24"/>
        <v>-0.29739918176504965</v>
      </c>
    </row>
    <row r="145" spans="1:15" x14ac:dyDescent="0.25">
      <c r="B145" s="145" t="s">
        <v>81</v>
      </c>
      <c r="C145" s="220" t="s">
        <v>233</v>
      </c>
      <c r="D145" s="221" t="s">
        <v>233</v>
      </c>
      <c r="E145" s="220">
        <v>4.7459016393442619</v>
      </c>
      <c r="F145" s="221" t="str">
        <f t="shared" ref="F145:J153" si="25">IFERROR(E145-C145,"-")</f>
        <v>-</v>
      </c>
      <c r="G145" s="220">
        <v>7.4578947368421051</v>
      </c>
      <c r="H145" s="221">
        <f t="shared" si="25"/>
        <v>2.7119930974978432</v>
      </c>
      <c r="I145" s="220">
        <v>6.7712765957446805</v>
      </c>
      <c r="J145" s="221">
        <f t="shared" si="25"/>
        <v>-0.68661814109742458</v>
      </c>
      <c r="K145" s="220">
        <v>6.5785123966942152</v>
      </c>
      <c r="L145" s="221">
        <f t="shared" ref="L145:L153" si="26">IFERROR(K145-I145,"-")</f>
        <v>-0.19276419905046538</v>
      </c>
      <c r="M145" s="220">
        <v>6.7061611374407581</v>
      </c>
      <c r="N145" s="221">
        <f t="shared" si="24"/>
        <v>0.12764874074654298</v>
      </c>
    </row>
    <row r="146" spans="1:15" x14ac:dyDescent="0.25">
      <c r="B146" s="145" t="s">
        <v>83</v>
      </c>
      <c r="C146" s="220" t="s">
        <v>233</v>
      </c>
      <c r="D146" s="221" t="s">
        <v>233</v>
      </c>
      <c r="E146" s="220">
        <v>8.3490566037735849</v>
      </c>
      <c r="F146" s="221" t="str">
        <f t="shared" si="25"/>
        <v>-</v>
      </c>
      <c r="G146" s="220">
        <v>5.2280701754385968</v>
      </c>
      <c r="H146" s="221">
        <f t="shared" si="25"/>
        <v>-3.1209864283349882</v>
      </c>
      <c r="I146" s="220">
        <v>6.4921875</v>
      </c>
      <c r="J146" s="221">
        <f t="shared" si="25"/>
        <v>1.2641173245614032</v>
      </c>
      <c r="K146" s="220">
        <v>6.5649350649350646</v>
      </c>
      <c r="L146" s="221">
        <f t="shared" si="26"/>
        <v>7.2747564935064624E-2</v>
      </c>
      <c r="M146" s="220">
        <v>8.247863247863247</v>
      </c>
      <c r="N146" s="221">
        <f t="shared" si="24"/>
        <v>1.6829281829281824</v>
      </c>
    </row>
    <row r="147" spans="1:15" x14ac:dyDescent="0.25">
      <c r="B147" s="145" t="s">
        <v>85</v>
      </c>
      <c r="C147" s="220" t="s">
        <v>233</v>
      </c>
      <c r="D147" s="221" t="s">
        <v>233</v>
      </c>
      <c r="E147" s="220">
        <v>7.1333333333333337</v>
      </c>
      <c r="F147" s="221" t="str">
        <f t="shared" si="25"/>
        <v>-</v>
      </c>
      <c r="G147" s="220">
        <v>6.9485294117647056</v>
      </c>
      <c r="H147" s="221">
        <f t="shared" si="25"/>
        <v>-0.18480392156862813</v>
      </c>
      <c r="I147" s="220">
        <v>3.9537037037037037</v>
      </c>
      <c r="J147" s="221">
        <f t="shared" si="25"/>
        <v>-2.9948257080610019</v>
      </c>
      <c r="K147" s="220">
        <v>3.661290322580645</v>
      </c>
      <c r="L147" s="221">
        <f t="shared" si="26"/>
        <v>-0.2924133811230587</v>
      </c>
      <c r="M147" s="220">
        <v>3.1451612903225805</v>
      </c>
      <c r="N147" s="221">
        <f t="shared" si="24"/>
        <v>-0.5161290322580645</v>
      </c>
    </row>
    <row r="148" spans="1:15" x14ac:dyDescent="0.25">
      <c r="B148" s="145" t="s">
        <v>87</v>
      </c>
      <c r="C148" s="220">
        <v>3.5697674418604652</v>
      </c>
      <c r="D148" s="221">
        <v>-0.35166112956810602</v>
      </c>
      <c r="E148" s="220">
        <v>6.527093596059113</v>
      </c>
      <c r="F148" s="221">
        <f t="shared" si="25"/>
        <v>2.9573261541986477</v>
      </c>
      <c r="G148" s="220">
        <v>5.5595854922279795</v>
      </c>
      <c r="H148" s="221">
        <f t="shared" si="25"/>
        <v>-0.9675081038311335</v>
      </c>
      <c r="I148" s="220">
        <v>5.2212765957446807</v>
      </c>
      <c r="J148" s="221">
        <f t="shared" si="25"/>
        <v>-0.33830889648329876</v>
      </c>
      <c r="K148" s="220">
        <v>6.5260115606936413</v>
      </c>
      <c r="L148" s="221">
        <f t="shared" si="26"/>
        <v>1.3047349649489606</v>
      </c>
      <c r="M148" s="220">
        <v>5.4790419161676649</v>
      </c>
      <c r="N148" s="221">
        <f t="shared" si="24"/>
        <v>-1.0469696445259764</v>
      </c>
    </row>
    <row r="149" spans="1:15" x14ac:dyDescent="0.25">
      <c r="B149" s="145" t="s">
        <v>89</v>
      </c>
      <c r="C149" s="220">
        <v>1.7142857142857142</v>
      </c>
      <c r="D149" s="221">
        <v>-1.5929768555466881</v>
      </c>
      <c r="E149" s="220">
        <v>6.3711340206185563</v>
      </c>
      <c r="F149" s="221">
        <f t="shared" si="25"/>
        <v>4.6568483063328419</v>
      </c>
      <c r="G149" s="220">
        <v>6.1875</v>
      </c>
      <c r="H149" s="221">
        <f t="shared" si="25"/>
        <v>-0.18363402061855627</v>
      </c>
      <c r="I149" s="220">
        <v>5.801801801801802</v>
      </c>
      <c r="J149" s="221">
        <f t="shared" si="25"/>
        <v>-0.38569819819819795</v>
      </c>
      <c r="K149" s="220">
        <v>5.8526785714285712</v>
      </c>
      <c r="L149" s="221">
        <f t="shared" si="26"/>
        <v>5.0876769626769125E-2</v>
      </c>
      <c r="M149" s="220">
        <v>5.6280193236714977</v>
      </c>
      <c r="N149" s="221">
        <f t="shared" si="24"/>
        <v>-0.22465924775707347</v>
      </c>
    </row>
    <row r="150" spans="1:15" x14ac:dyDescent="0.25">
      <c r="A150" s="151"/>
      <c r="B150" s="145" t="s">
        <v>91</v>
      </c>
      <c r="C150" s="220">
        <v>3.05</v>
      </c>
      <c r="D150" s="221">
        <v>-1.1842569269521412</v>
      </c>
      <c r="E150" s="220">
        <v>8.5621890547263675</v>
      </c>
      <c r="F150" s="221">
        <f t="shared" si="25"/>
        <v>5.5121890547263677</v>
      </c>
      <c r="G150" s="220">
        <v>6.6477987421383649</v>
      </c>
      <c r="H150" s="221">
        <f t="shared" si="25"/>
        <v>-1.9143903125880026</v>
      </c>
      <c r="I150" s="220">
        <v>5.7828947368421053</v>
      </c>
      <c r="J150" s="221">
        <f t="shared" si="25"/>
        <v>-0.86490400529625955</v>
      </c>
      <c r="K150" s="220">
        <v>5.9803278688524593</v>
      </c>
      <c r="L150" s="221">
        <f t="shared" si="26"/>
        <v>0.19743313201035395</v>
      </c>
      <c r="M150" s="220">
        <v>5.8192771084337354</v>
      </c>
      <c r="N150" s="221">
        <f t="shared" si="24"/>
        <v>-0.1610507604187239</v>
      </c>
    </row>
    <row r="151" spans="1:15" x14ac:dyDescent="0.25">
      <c r="B151" s="145" t="s">
        <v>93</v>
      </c>
      <c r="C151" s="220">
        <v>2.0388349514563107</v>
      </c>
      <c r="D151" s="221">
        <v>-3.9387769888421964</v>
      </c>
      <c r="E151" s="220">
        <v>5.795309168443497</v>
      </c>
      <c r="F151" s="221">
        <f t="shared" si="25"/>
        <v>3.7564742169871863</v>
      </c>
      <c r="G151" s="220">
        <v>5.9533169533169534</v>
      </c>
      <c r="H151" s="221">
        <f t="shared" si="25"/>
        <v>0.15800778487345646</v>
      </c>
      <c r="I151" s="220">
        <v>5.8276553106212425</v>
      </c>
      <c r="J151" s="221">
        <f t="shared" si="25"/>
        <v>-0.1256616426957109</v>
      </c>
      <c r="K151" s="220">
        <v>6.3442265795206971</v>
      </c>
      <c r="L151" s="221">
        <f t="shared" si="26"/>
        <v>0.51657126889945459</v>
      </c>
      <c r="M151" s="220"/>
      <c r="N151" s="221"/>
    </row>
    <row r="152" spans="1:15" x14ac:dyDescent="0.25">
      <c r="B152" s="145" t="s">
        <v>95</v>
      </c>
      <c r="C152" s="220">
        <v>2.2873563218390807</v>
      </c>
      <c r="D152" s="221">
        <v>-3.6677887968944285</v>
      </c>
      <c r="E152" s="220">
        <v>5.5287356321839081</v>
      </c>
      <c r="F152" s="221">
        <f t="shared" si="25"/>
        <v>3.2413793103448274</v>
      </c>
      <c r="G152" s="220">
        <v>5.0775623268698062</v>
      </c>
      <c r="H152" s="221">
        <f t="shared" si="25"/>
        <v>-0.45117330531410182</v>
      </c>
      <c r="I152" s="220">
        <v>4.8246445497630335</v>
      </c>
      <c r="J152" s="221">
        <f t="shared" si="25"/>
        <v>-0.25291777710677277</v>
      </c>
      <c r="K152" s="220">
        <v>5.3826086956521735</v>
      </c>
      <c r="L152" s="221">
        <f t="shared" si="26"/>
        <v>0.55796414588914001</v>
      </c>
      <c r="M152" s="220"/>
      <c r="N152" s="221"/>
    </row>
    <row r="153" spans="1:15" ht="15.75" x14ac:dyDescent="0.25">
      <c r="B153" s="148" t="s">
        <v>32</v>
      </c>
      <c r="C153" s="222">
        <v>5.0459149223497635</v>
      </c>
      <c r="D153" s="223">
        <v>-0.42553194064639488</v>
      </c>
      <c r="E153" s="222">
        <v>6.4271398747390398</v>
      </c>
      <c r="F153" s="223">
        <f t="shared" si="25"/>
        <v>1.3812249523892763</v>
      </c>
      <c r="G153" s="222">
        <v>6.0453762205628951</v>
      </c>
      <c r="H153" s="223">
        <f t="shared" si="25"/>
        <v>-0.38176365417614466</v>
      </c>
      <c r="I153" s="222">
        <v>5.9357629785002626</v>
      </c>
      <c r="J153" s="223">
        <f t="shared" si="25"/>
        <v>-0.10961324206263257</v>
      </c>
      <c r="K153" s="222">
        <v>5.917572035899858</v>
      </c>
      <c r="L153" s="223">
        <f t="shared" si="26"/>
        <v>-1.8190942600404547E-2</v>
      </c>
      <c r="M153" s="222">
        <v>5.9570429570429573</v>
      </c>
      <c r="N153" s="223">
        <v>2.4312941960000778E-2</v>
      </c>
    </row>
    <row r="154" spans="1:15" ht="6" customHeight="1" x14ac:dyDescent="0.25"/>
    <row r="155" spans="1:15" x14ac:dyDescent="0.25">
      <c r="B155" s="131" t="s">
        <v>57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K156" s="151"/>
      <c r="N156" s="154"/>
    </row>
    <row r="158" spans="1:15" ht="48.75" customHeight="1" thickBot="1" x14ac:dyDescent="0.3">
      <c r="B158" s="12" t="s">
        <v>299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116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117</v>
      </c>
    </row>
    <row r="160" spans="1:15" ht="22.5" thickTop="1" thickBot="1" x14ac:dyDescent="0.3">
      <c r="B160" s="152" t="str">
        <f>C160</f>
        <v>Francia</v>
      </c>
      <c r="C160" s="135" t="s">
        <v>118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v>2020</v>
      </c>
      <c r="D161" s="139"/>
      <c r="E161" s="140">
        <v>2021</v>
      </c>
      <c r="F161" s="139"/>
      <c r="G161" s="140">
        <v>2022</v>
      </c>
      <c r="H161" s="139"/>
      <c r="I161" s="140">
        <v>2023</v>
      </c>
      <c r="J161" s="139"/>
      <c r="K161" s="140">
        <v>2024</v>
      </c>
      <c r="L161" s="139"/>
      <c r="M161" s="140">
        <v>2025</v>
      </c>
      <c r="N161" s="141"/>
    </row>
    <row r="162" spans="2:14" ht="16.5" thickTop="1" thickBot="1" x14ac:dyDescent="0.3">
      <c r="B162" s="109"/>
      <c r="C162" s="142" t="s">
        <v>71</v>
      </c>
      <c r="D162" s="143" t="str">
        <f>CONCATENATE("dif ",RIGHT(C161,2),"/",RIGHT(C161-1,2))</f>
        <v>dif 20/19</v>
      </c>
      <c r="E162" s="144" t="s">
        <v>71</v>
      </c>
      <c r="F162" s="143" t="str">
        <f>CONCATENATE("dif ",RIGHT(E161,2),"/",RIGHT(C161,2))</f>
        <v>dif 21/20</v>
      </c>
      <c r="G162" s="144" t="s">
        <v>71</v>
      </c>
      <c r="H162" s="143" t="str">
        <f>CONCATENATE("dif ",RIGHT(G161,2),"/",RIGHT(E161,2))</f>
        <v>dif 22/21</v>
      </c>
      <c r="I162" s="144" t="s">
        <v>71</v>
      </c>
      <c r="J162" s="143" t="str">
        <f>CONCATENATE("dif ",RIGHT(I161,2),"/",RIGHT(G161,2))</f>
        <v>dif 23/22</v>
      </c>
      <c r="K162" s="144" t="s">
        <v>71</v>
      </c>
      <c r="L162" s="143" t="str">
        <f>CONCATENATE("dif ",RIGHT(K161,2),"/",RIGHT(I161,2))</f>
        <v>dif 24/23</v>
      </c>
      <c r="M162" s="144" t="s">
        <v>71</v>
      </c>
      <c r="N162" s="143" t="str">
        <f>CONCATENATE("dif ",RIGHT(M161,2),"/",RIGHT(K161,2))</f>
        <v>dif 25/24</v>
      </c>
    </row>
    <row r="163" spans="2:14" x14ac:dyDescent="0.25">
      <c r="B163" s="145" t="s">
        <v>73</v>
      </c>
      <c r="C163" s="220">
        <v>2.3308641975308642</v>
      </c>
      <c r="D163" s="221">
        <v>0.37964468533574225</v>
      </c>
      <c r="E163" s="220">
        <v>1.7464788732394365</v>
      </c>
      <c r="F163" s="221">
        <f t="shared" ref="F163:J165" si="27">IFERROR(E163-C163,"-")</f>
        <v>-0.58438532429142764</v>
      </c>
      <c r="G163" s="220">
        <v>2.3723076923076922</v>
      </c>
      <c r="H163" s="221">
        <f t="shared" si="27"/>
        <v>0.62582881906825572</v>
      </c>
      <c r="I163" s="220">
        <v>2.0614754098360657</v>
      </c>
      <c r="J163" s="221">
        <f t="shared" si="27"/>
        <v>-0.31083228247162653</v>
      </c>
      <c r="K163" s="220">
        <v>2.5740259740259739</v>
      </c>
      <c r="L163" s="221">
        <f t="shared" ref="L163:L165" si="28">IFERROR(K163-I163,"-")</f>
        <v>0.51255056418990819</v>
      </c>
      <c r="M163" s="220">
        <v>2.6155778894472363</v>
      </c>
      <c r="N163" s="221">
        <f t="shared" ref="N163:N172" si="29">IFERROR(M163-K163,"-")</f>
        <v>4.1551915421262464E-2</v>
      </c>
    </row>
    <row r="164" spans="2:14" x14ac:dyDescent="0.25">
      <c r="B164" s="145" t="s">
        <v>75</v>
      </c>
      <c r="C164" s="220">
        <v>2.4140000000000001</v>
      </c>
      <c r="D164" s="221">
        <v>-0.43284684684684649</v>
      </c>
      <c r="E164" s="220">
        <v>2.0147601476014758</v>
      </c>
      <c r="F164" s="221">
        <f t="shared" si="27"/>
        <v>-0.39923985239852433</v>
      </c>
      <c r="G164" s="220">
        <v>2.2242268041237114</v>
      </c>
      <c r="H164" s="221">
        <f t="shared" si="27"/>
        <v>0.20946665652223562</v>
      </c>
      <c r="I164" s="220">
        <v>2.5348258706467663</v>
      </c>
      <c r="J164" s="221">
        <f t="shared" si="27"/>
        <v>0.31059906652305491</v>
      </c>
      <c r="K164" s="220">
        <v>2.6754385964912282</v>
      </c>
      <c r="L164" s="221">
        <f t="shared" si="28"/>
        <v>0.14061272584446183</v>
      </c>
      <c r="M164" s="220">
        <v>2.4320388349514563</v>
      </c>
      <c r="N164" s="221">
        <f t="shared" si="29"/>
        <v>-0.24339976153977183</v>
      </c>
    </row>
    <row r="165" spans="2:14" x14ac:dyDescent="0.25">
      <c r="B165" s="145" t="s">
        <v>77</v>
      </c>
      <c r="C165" s="220">
        <v>1.97265625</v>
      </c>
      <c r="D165" s="221">
        <v>-0.37869510135135132</v>
      </c>
      <c r="E165" s="220">
        <v>1.8691796008869179</v>
      </c>
      <c r="F165" s="221">
        <f t="shared" si="27"/>
        <v>-0.10347664911308208</v>
      </c>
      <c r="G165" s="220">
        <v>2.4673629242819843</v>
      </c>
      <c r="H165" s="221">
        <f t="shared" si="27"/>
        <v>0.59818332339506641</v>
      </c>
      <c r="I165" s="220">
        <v>2.4316239316239314</v>
      </c>
      <c r="J165" s="221">
        <f t="shared" si="27"/>
        <v>-3.5738992658052915E-2</v>
      </c>
      <c r="K165" s="220">
        <v>2.6632653061224492</v>
      </c>
      <c r="L165" s="221">
        <f t="shared" si="28"/>
        <v>0.23164137449851774</v>
      </c>
      <c r="M165" s="220">
        <v>2.4990138067061145</v>
      </c>
      <c r="N165" s="221">
        <f t="shared" si="29"/>
        <v>-0.16425149941633466</v>
      </c>
    </row>
    <row r="166" spans="2:14" x14ac:dyDescent="0.25">
      <c r="B166" s="145" t="s">
        <v>79</v>
      </c>
      <c r="C166" s="220" t="s">
        <v>233</v>
      </c>
      <c r="D166" s="221" t="s">
        <v>233</v>
      </c>
      <c r="E166" s="220">
        <v>1.9146005509641872</v>
      </c>
      <c r="F166" s="221" t="str">
        <f>IFERROR(E166-C166,"-")</f>
        <v>-</v>
      </c>
      <c r="G166" s="220">
        <v>2.6418439716312059</v>
      </c>
      <c r="H166" s="221">
        <f>IFERROR(G166-E166,"-")</f>
        <v>0.72724342066701864</v>
      </c>
      <c r="I166" s="220">
        <v>2.1666666666666665</v>
      </c>
      <c r="J166" s="221">
        <f>IFERROR(I166-G166,"-")</f>
        <v>-0.47517730496453936</v>
      </c>
      <c r="K166" s="220">
        <v>2.4542772861356932</v>
      </c>
      <c r="L166" s="221">
        <f>IFERROR(K166-I166,"-")</f>
        <v>0.28761061946902666</v>
      </c>
      <c r="M166" s="220">
        <v>2.3902439024390243</v>
      </c>
      <c r="N166" s="221">
        <f t="shared" si="29"/>
        <v>-6.4033383696668889E-2</v>
      </c>
    </row>
    <row r="167" spans="2:14" x14ac:dyDescent="0.25">
      <c r="B167" s="145" t="s">
        <v>81</v>
      </c>
      <c r="C167" s="220" t="s">
        <v>233</v>
      </c>
      <c r="D167" s="221" t="s">
        <v>233</v>
      </c>
      <c r="E167" s="220">
        <v>1.8443877551020409</v>
      </c>
      <c r="F167" s="221" t="str">
        <f t="shared" ref="F167:J175" si="30">IFERROR(E167-C167,"-")</f>
        <v>-</v>
      </c>
      <c r="G167" s="220">
        <v>2.0501792114695339</v>
      </c>
      <c r="H167" s="221">
        <f t="shared" si="30"/>
        <v>0.20579145636749296</v>
      </c>
      <c r="I167" s="220">
        <v>2.3689320388349513</v>
      </c>
      <c r="J167" s="221">
        <f t="shared" si="30"/>
        <v>0.31875282736541743</v>
      </c>
      <c r="K167" s="220">
        <v>2.9319727891156462</v>
      </c>
      <c r="L167" s="221">
        <f t="shared" ref="L167:L175" si="31">IFERROR(K167-I167,"-")</f>
        <v>0.56304075028069489</v>
      </c>
      <c r="M167" s="220">
        <v>2.7326388888888888</v>
      </c>
      <c r="N167" s="221">
        <f t="shared" si="29"/>
        <v>-0.19933390022675734</v>
      </c>
    </row>
    <row r="168" spans="2:14" x14ac:dyDescent="0.25">
      <c r="B168" s="145" t="s">
        <v>83</v>
      </c>
      <c r="C168" s="220" t="s">
        <v>233</v>
      </c>
      <c r="D168" s="221" t="s">
        <v>233</v>
      </c>
      <c r="E168" s="220">
        <v>2.2037037037037037</v>
      </c>
      <c r="F168" s="221" t="str">
        <f t="shared" si="30"/>
        <v>-</v>
      </c>
      <c r="G168" s="220">
        <v>2.278688524590164</v>
      </c>
      <c r="H168" s="221">
        <f t="shared" si="30"/>
        <v>7.4984820886460302E-2</v>
      </c>
      <c r="I168" s="220">
        <v>2.4933333333333332</v>
      </c>
      <c r="J168" s="221">
        <f t="shared" si="30"/>
        <v>0.21464480874316916</v>
      </c>
      <c r="K168" s="220">
        <v>3.6101694915254239</v>
      </c>
      <c r="L168" s="221">
        <f t="shared" si="31"/>
        <v>1.1168361581920907</v>
      </c>
      <c r="M168" s="220">
        <v>2.8768115942028984</v>
      </c>
      <c r="N168" s="221">
        <f t="shared" si="29"/>
        <v>-0.73335789732252543</v>
      </c>
    </row>
    <row r="169" spans="2:14" x14ac:dyDescent="0.25">
      <c r="B169" s="145" t="s">
        <v>85</v>
      </c>
      <c r="C169" s="220" t="s">
        <v>233</v>
      </c>
      <c r="D169" s="221" t="s">
        <v>233</v>
      </c>
      <c r="E169" s="220">
        <v>1.9858490566037736</v>
      </c>
      <c r="F169" s="221" t="str">
        <f t="shared" si="30"/>
        <v>-</v>
      </c>
      <c r="G169" s="220">
        <v>2.9</v>
      </c>
      <c r="H169" s="221">
        <f t="shared" si="30"/>
        <v>0.91415094339622627</v>
      </c>
      <c r="I169" s="220">
        <v>2.0376344086021505</v>
      </c>
      <c r="J169" s="221">
        <f t="shared" si="30"/>
        <v>-0.86236559139784941</v>
      </c>
      <c r="K169" s="220">
        <v>3.2391304347826089</v>
      </c>
      <c r="L169" s="221">
        <f t="shared" si="31"/>
        <v>1.2014960261804584</v>
      </c>
      <c r="M169" s="220">
        <v>2.8321678321678321</v>
      </c>
      <c r="N169" s="221">
        <f t="shared" si="29"/>
        <v>-0.40696260261477679</v>
      </c>
    </row>
    <row r="170" spans="2:14" x14ac:dyDescent="0.25">
      <c r="B170" s="145" t="s">
        <v>87</v>
      </c>
      <c r="C170" s="220">
        <v>3.2</v>
      </c>
      <c r="D170" s="221">
        <v>1.2973684210526317</v>
      </c>
      <c r="E170" s="220">
        <v>2.2243436754176611</v>
      </c>
      <c r="F170" s="221">
        <f t="shared" si="30"/>
        <v>-0.97565632458233909</v>
      </c>
      <c r="G170" s="220">
        <v>2.0975609756097562</v>
      </c>
      <c r="H170" s="221">
        <f t="shared" si="30"/>
        <v>-0.12678269980790491</v>
      </c>
      <c r="I170" s="220">
        <v>2.2378048780487805</v>
      </c>
      <c r="J170" s="221">
        <f t="shared" si="30"/>
        <v>0.14024390243902429</v>
      </c>
      <c r="K170" s="220">
        <v>2.9610778443113772</v>
      </c>
      <c r="L170" s="221">
        <f t="shared" si="31"/>
        <v>0.72327296626259674</v>
      </c>
      <c r="M170" s="220">
        <v>2.98</v>
      </c>
      <c r="N170" s="221">
        <f t="shared" si="29"/>
        <v>1.8922155688622766E-2</v>
      </c>
    </row>
    <row r="171" spans="2:14" x14ac:dyDescent="0.25">
      <c r="B171" s="145" t="s">
        <v>89</v>
      </c>
      <c r="C171" s="220">
        <v>2.1666666666666665</v>
      </c>
      <c r="D171" s="221">
        <v>-0.22195892575039489</v>
      </c>
      <c r="E171" s="220">
        <v>1.9833333333333334</v>
      </c>
      <c r="F171" s="221">
        <f t="shared" si="30"/>
        <v>-0.18333333333333313</v>
      </c>
      <c r="G171" s="220">
        <v>2.5324675324675323</v>
      </c>
      <c r="H171" s="221">
        <f t="shared" si="30"/>
        <v>0.54913419913419892</v>
      </c>
      <c r="I171" s="220">
        <v>2.3365384615384617</v>
      </c>
      <c r="J171" s="221">
        <f t="shared" si="30"/>
        <v>-0.19592907092907064</v>
      </c>
      <c r="K171" s="220">
        <v>2.7697368421052633</v>
      </c>
      <c r="L171" s="221">
        <f t="shared" si="31"/>
        <v>0.4331983805668016</v>
      </c>
      <c r="M171" s="220">
        <v>2.9901960784313726</v>
      </c>
      <c r="N171" s="221">
        <f t="shared" si="29"/>
        <v>0.22045923632610931</v>
      </c>
    </row>
    <row r="172" spans="2:14" x14ac:dyDescent="0.25">
      <c r="B172" s="145" t="s">
        <v>91</v>
      </c>
      <c r="C172" s="220">
        <v>1.7272727272727273</v>
      </c>
      <c r="D172" s="221">
        <v>-0.21193699917104181</v>
      </c>
      <c r="E172" s="220">
        <v>1.9558823529411764</v>
      </c>
      <c r="F172" s="221">
        <f t="shared" si="30"/>
        <v>0.22860962566844911</v>
      </c>
      <c r="G172" s="220">
        <v>2.1704035874439462</v>
      </c>
      <c r="H172" s="221">
        <f t="shared" si="30"/>
        <v>0.21452123450276983</v>
      </c>
      <c r="I172" s="220">
        <v>1.9482758620689655</v>
      </c>
      <c r="J172" s="221">
        <f t="shared" si="30"/>
        <v>-0.22212772537498071</v>
      </c>
      <c r="K172" s="220">
        <v>2.174825174825175</v>
      </c>
      <c r="L172" s="221">
        <f t="shared" si="31"/>
        <v>0.22654931275620949</v>
      </c>
      <c r="M172" s="220">
        <v>2.3535353535353534</v>
      </c>
      <c r="N172" s="221">
        <f t="shared" si="29"/>
        <v>0.17871017871017836</v>
      </c>
    </row>
    <row r="173" spans="2:14" x14ac:dyDescent="0.25">
      <c r="B173" s="145" t="s">
        <v>93</v>
      </c>
      <c r="C173" s="220">
        <v>2.9183673469387754</v>
      </c>
      <c r="D173" s="221">
        <v>0.99508692365835216</v>
      </c>
      <c r="E173" s="220">
        <v>2.2709677419354839</v>
      </c>
      <c r="F173" s="221">
        <f t="shared" si="30"/>
        <v>-0.64739960500329152</v>
      </c>
      <c r="G173" s="220">
        <v>2.3391003460207611</v>
      </c>
      <c r="H173" s="221">
        <f t="shared" si="30"/>
        <v>6.8132604085277215E-2</v>
      </c>
      <c r="I173" s="220">
        <v>2.5221238938053099</v>
      </c>
      <c r="J173" s="221">
        <f t="shared" si="30"/>
        <v>0.18302354778454877</v>
      </c>
      <c r="K173" s="220">
        <v>2.103542234332425</v>
      </c>
      <c r="L173" s="221">
        <f t="shared" si="31"/>
        <v>-0.41858165947288484</v>
      </c>
      <c r="M173" s="220"/>
      <c r="N173" s="221"/>
    </row>
    <row r="174" spans="2:14" x14ac:dyDescent="0.25">
      <c r="B174" s="145" t="s">
        <v>95</v>
      </c>
      <c r="C174" s="220">
        <v>2.2029702970297032</v>
      </c>
      <c r="D174" s="221">
        <v>-0.26744390415372887</v>
      </c>
      <c r="E174" s="220">
        <v>2.1950549450549453</v>
      </c>
      <c r="F174" s="221">
        <f t="shared" si="30"/>
        <v>-7.9153519747579004E-3</v>
      </c>
      <c r="G174" s="220">
        <v>2.0084033613445378</v>
      </c>
      <c r="H174" s="221">
        <f t="shared" si="30"/>
        <v>-0.18665158371040746</v>
      </c>
      <c r="I174" s="220">
        <v>2.2335526315789473</v>
      </c>
      <c r="J174" s="221">
        <f t="shared" si="30"/>
        <v>0.22514927023440956</v>
      </c>
      <c r="K174" s="220">
        <v>2.5499999999999998</v>
      </c>
      <c r="L174" s="221">
        <f t="shared" si="31"/>
        <v>0.31644736842105248</v>
      </c>
      <c r="M174" s="220"/>
      <c r="N174" s="221"/>
    </row>
    <row r="175" spans="2:14" ht="15.75" x14ac:dyDescent="0.25">
      <c r="B175" s="148" t="s">
        <v>32</v>
      </c>
      <c r="C175" s="222">
        <v>2.3596757852076999</v>
      </c>
      <c r="D175" s="223">
        <v>0.11343811006499127</v>
      </c>
      <c r="E175" s="222">
        <v>2.0186388025981361</v>
      </c>
      <c r="F175" s="223">
        <f t="shared" si="30"/>
        <v>-0.34103698260956383</v>
      </c>
      <c r="G175" s="222">
        <v>2.3097889800703402</v>
      </c>
      <c r="H175" s="223">
        <f t="shared" si="30"/>
        <v>0.29115017747220406</v>
      </c>
      <c r="I175" s="222">
        <v>2.2913770913770914</v>
      </c>
      <c r="J175" s="223">
        <f t="shared" si="30"/>
        <v>-1.8411888693248724E-2</v>
      </c>
      <c r="K175" s="222">
        <v>2.6458616010854819</v>
      </c>
      <c r="L175" s="223">
        <f t="shared" si="31"/>
        <v>0.35448450970839041</v>
      </c>
      <c r="M175" s="222">
        <v>2.6246693121693121</v>
      </c>
      <c r="N175" s="223">
        <v>-9.5541352741813856E-2</v>
      </c>
    </row>
    <row r="176" spans="2:14" ht="6" customHeight="1" x14ac:dyDescent="0.25"/>
    <row r="177" spans="1:15" x14ac:dyDescent="0.25">
      <c r="B177" s="131" t="s">
        <v>57</v>
      </c>
      <c r="C177" s="131"/>
      <c r="D177" s="131"/>
      <c r="E177" s="131"/>
      <c r="F177" s="131"/>
      <c r="G177" s="131"/>
      <c r="H177" s="131"/>
      <c r="I177" s="131"/>
      <c r="J177" s="131"/>
      <c r="K177" s="155"/>
      <c r="L177" s="131"/>
      <c r="M177" s="131"/>
      <c r="N177" s="131"/>
    </row>
    <row r="180" spans="1:15" ht="48.75" customHeight="1" thickBot="1" x14ac:dyDescent="0.3">
      <c r="B180" s="12" t="s">
        <v>300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119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120</v>
      </c>
    </row>
    <row r="182" spans="1:15" ht="22.5" thickTop="1" thickBot="1" x14ac:dyDescent="0.3">
      <c r="B182" s="152" t="str">
        <f>C182</f>
        <v>Bélgica</v>
      </c>
      <c r="C182" s="135" t="s">
        <v>121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v>2020</v>
      </c>
      <c r="D183" s="139"/>
      <c r="E183" s="140">
        <v>2021</v>
      </c>
      <c r="F183" s="139"/>
      <c r="G183" s="140">
        <v>2022</v>
      </c>
      <c r="H183" s="139"/>
      <c r="I183" s="140">
        <v>2023</v>
      </c>
      <c r="J183" s="139"/>
      <c r="K183" s="140">
        <v>2024</v>
      </c>
      <c r="L183" s="139"/>
      <c r="M183" s="140">
        <v>2025</v>
      </c>
      <c r="N183" s="141"/>
    </row>
    <row r="184" spans="1:15" ht="16.5" thickTop="1" thickBot="1" x14ac:dyDescent="0.3">
      <c r="B184" s="109"/>
      <c r="C184" s="142" t="s">
        <v>71</v>
      </c>
      <c r="D184" s="143" t="str">
        <f>CONCATENATE("dif ",RIGHT(C183,2),"/",RIGHT(C183-1,2))</f>
        <v>dif 20/19</v>
      </c>
      <c r="E184" s="144" t="s">
        <v>71</v>
      </c>
      <c r="F184" s="143" t="str">
        <f>CONCATENATE("dif ",RIGHT(E183,2),"/",RIGHT(C183,2))</f>
        <v>dif 21/20</v>
      </c>
      <c r="G184" s="144" t="s">
        <v>71</v>
      </c>
      <c r="H184" s="143" t="str">
        <f>CONCATENATE("dif ",RIGHT(G183,2),"/",RIGHT(E183,2))</f>
        <v>dif 22/21</v>
      </c>
      <c r="I184" s="144" t="s">
        <v>71</v>
      </c>
      <c r="J184" s="143" t="str">
        <f>CONCATENATE("dif ",RIGHT(I183,2),"/",RIGHT(G183,2))</f>
        <v>dif 23/22</v>
      </c>
      <c r="K184" s="144" t="s">
        <v>71</v>
      </c>
      <c r="L184" s="143" t="str">
        <f>CONCATENATE("dif ",RIGHT(K183,2),"/",RIGHT(I183,2))</f>
        <v>dif 24/23</v>
      </c>
      <c r="M184" s="144" t="s">
        <v>71</v>
      </c>
      <c r="N184" s="143" t="str">
        <f>CONCATENATE("dif ",RIGHT(M183,2),"/",RIGHT(K183,2))</f>
        <v>dif 25/24</v>
      </c>
    </row>
    <row r="185" spans="1:15" x14ac:dyDescent="0.25">
      <c r="A185" s="151"/>
      <c r="B185" s="145" t="s">
        <v>73</v>
      </c>
      <c r="C185" s="220">
        <v>2.408450704225352</v>
      </c>
      <c r="D185" s="221">
        <v>-0.17263037685572913</v>
      </c>
      <c r="E185" s="220">
        <v>3.375</v>
      </c>
      <c r="F185" s="221">
        <f t="shared" ref="F185:J187" si="32">IFERROR(E185-C185,"-")</f>
        <v>0.96654929577464799</v>
      </c>
      <c r="G185" s="220">
        <v>2.6404494382022472</v>
      </c>
      <c r="H185" s="221">
        <f t="shared" si="32"/>
        <v>-0.7345505617977528</v>
      </c>
      <c r="I185" s="220">
        <v>2.5185185185185186</v>
      </c>
      <c r="J185" s="221">
        <f t="shared" si="32"/>
        <v>-0.1219309196837286</v>
      </c>
      <c r="K185" s="220">
        <v>2.2865497076023393</v>
      </c>
      <c r="L185" s="221">
        <f t="shared" ref="L185:L187" si="33">IFERROR(K185-I185,"-")</f>
        <v>-0.23196881091617927</v>
      </c>
      <c r="M185" s="220">
        <v>2.7923076923076922</v>
      </c>
      <c r="N185" s="221">
        <f t="shared" ref="N185:N194" si="34">IFERROR(M185-K185,"-")</f>
        <v>0.50575798470535283</v>
      </c>
    </row>
    <row r="186" spans="1:15" x14ac:dyDescent="0.25">
      <c r="B186" s="145" t="s">
        <v>75</v>
      </c>
      <c r="C186" s="220">
        <v>2.7586206896551726</v>
      </c>
      <c r="D186" s="221">
        <v>-0.2413793103448274</v>
      </c>
      <c r="E186" s="220">
        <v>4</v>
      </c>
      <c r="F186" s="221">
        <f t="shared" si="32"/>
        <v>1.2413793103448274</v>
      </c>
      <c r="G186" s="220">
        <v>2.925925925925926</v>
      </c>
      <c r="H186" s="221">
        <f t="shared" si="32"/>
        <v>-1.074074074074074</v>
      </c>
      <c r="I186" s="220">
        <v>3</v>
      </c>
      <c r="J186" s="221">
        <f t="shared" si="32"/>
        <v>7.4074074074073959E-2</v>
      </c>
      <c r="K186" s="220">
        <v>3.2736842105263158</v>
      </c>
      <c r="L186" s="221">
        <f t="shared" si="33"/>
        <v>0.27368421052631575</v>
      </c>
      <c r="M186" s="220">
        <v>3.6956521739130435</v>
      </c>
      <c r="N186" s="221">
        <f t="shared" si="34"/>
        <v>0.42196796338672771</v>
      </c>
    </row>
    <row r="187" spans="1:15" x14ac:dyDescent="0.25">
      <c r="B187" s="145" t="s">
        <v>77</v>
      </c>
      <c r="C187" s="220">
        <v>1.34375</v>
      </c>
      <c r="D187" s="221">
        <v>-2.4923155737704916</v>
      </c>
      <c r="E187" s="220">
        <v>4.083333333333333</v>
      </c>
      <c r="F187" s="221">
        <f t="shared" si="32"/>
        <v>2.739583333333333</v>
      </c>
      <c r="G187" s="220">
        <v>3.3624999999999998</v>
      </c>
      <c r="H187" s="221">
        <f t="shared" si="32"/>
        <v>-0.72083333333333321</v>
      </c>
      <c r="I187" s="220">
        <v>4.253521126760563</v>
      </c>
      <c r="J187" s="221">
        <f t="shared" si="32"/>
        <v>0.89102112676056322</v>
      </c>
      <c r="K187" s="220">
        <v>3.043010752688172</v>
      </c>
      <c r="L187" s="221">
        <f t="shared" si="33"/>
        <v>-1.210510374072391</v>
      </c>
      <c r="M187" s="220">
        <v>3</v>
      </c>
      <c r="N187" s="221">
        <f t="shared" si="34"/>
        <v>-4.3010752688172005E-2</v>
      </c>
    </row>
    <row r="188" spans="1:15" x14ac:dyDescent="0.25">
      <c r="B188" s="145" t="s">
        <v>79</v>
      </c>
      <c r="C188" s="220" t="s">
        <v>233</v>
      </c>
      <c r="D188" s="221" t="s">
        <v>233</v>
      </c>
      <c r="E188" s="220">
        <v>2.0857142857142859</v>
      </c>
      <c r="F188" s="221" t="str">
        <f>IFERROR(E188-C188,"-")</f>
        <v>-</v>
      </c>
      <c r="G188" s="220">
        <v>2.6166666666666667</v>
      </c>
      <c r="H188" s="221">
        <f>IFERROR(G188-E188,"-")</f>
        <v>0.53095238095238084</v>
      </c>
      <c r="I188" s="220">
        <v>2.5909090909090908</v>
      </c>
      <c r="J188" s="221">
        <f>IFERROR(I188-G188,"-")</f>
        <v>-2.5757575757575868E-2</v>
      </c>
      <c r="K188" s="220">
        <v>2.6896551724137931</v>
      </c>
      <c r="L188" s="221">
        <f>IFERROR(K188-I188,"-")</f>
        <v>9.8746081504702321E-2</v>
      </c>
      <c r="M188" s="220">
        <v>3.3297872340425534</v>
      </c>
      <c r="N188" s="221">
        <f t="shared" si="34"/>
        <v>0.64013206162876024</v>
      </c>
    </row>
    <row r="189" spans="1:15" x14ac:dyDescent="0.25">
      <c r="B189" s="145" t="s">
        <v>81</v>
      </c>
      <c r="C189" s="220" t="s">
        <v>233</v>
      </c>
      <c r="D189" s="221" t="s">
        <v>233</v>
      </c>
      <c r="E189" s="220">
        <v>1.5454545454545454</v>
      </c>
      <c r="F189" s="221" t="str">
        <f t="shared" ref="F189:J197" si="35">IFERROR(E189-C189,"-")</f>
        <v>-</v>
      </c>
      <c r="G189" s="220">
        <v>3.25</v>
      </c>
      <c r="H189" s="221">
        <f t="shared" si="35"/>
        <v>1.7045454545454546</v>
      </c>
      <c r="I189" s="220">
        <v>2.59375</v>
      </c>
      <c r="J189" s="221">
        <f t="shared" si="35"/>
        <v>-0.65625</v>
      </c>
      <c r="K189" s="220">
        <v>1.346938775510204</v>
      </c>
      <c r="L189" s="221">
        <f t="shared" ref="L189:L197" si="36">IFERROR(K189-I189,"-")</f>
        <v>-1.246811224489796</v>
      </c>
      <c r="M189" s="220">
        <v>4</v>
      </c>
      <c r="N189" s="221">
        <f t="shared" si="34"/>
        <v>2.6530612244897958</v>
      </c>
    </row>
    <row r="190" spans="1:15" x14ac:dyDescent="0.25">
      <c r="B190" s="145" t="s">
        <v>122</v>
      </c>
      <c r="C190" s="220" t="s">
        <v>233</v>
      </c>
      <c r="D190" s="221" t="s">
        <v>233</v>
      </c>
      <c r="E190" s="220">
        <v>3.36</v>
      </c>
      <c r="F190" s="221" t="str">
        <f t="shared" si="35"/>
        <v>-</v>
      </c>
      <c r="G190" s="220">
        <v>2.2580645161290325</v>
      </c>
      <c r="H190" s="221">
        <f t="shared" si="35"/>
        <v>-1.1019354838709674</v>
      </c>
      <c r="I190" s="220">
        <v>2.28125</v>
      </c>
      <c r="J190" s="221">
        <f t="shared" si="35"/>
        <v>2.3185483870967527E-2</v>
      </c>
      <c r="K190" s="220">
        <v>2.8947368421052633</v>
      </c>
      <c r="L190" s="221">
        <f t="shared" si="36"/>
        <v>0.61348684210526327</v>
      </c>
      <c r="M190" s="220">
        <v>5.833333333333333</v>
      </c>
      <c r="N190" s="221">
        <f t="shared" si="34"/>
        <v>2.9385964912280698</v>
      </c>
    </row>
    <row r="191" spans="1:15" x14ac:dyDescent="0.25">
      <c r="B191" s="145" t="s">
        <v>85</v>
      </c>
      <c r="C191" s="220" t="s">
        <v>233</v>
      </c>
      <c r="D191" s="221" t="s">
        <v>233</v>
      </c>
      <c r="E191" s="220">
        <v>2.5116279069767442</v>
      </c>
      <c r="F191" s="221" t="str">
        <f t="shared" si="35"/>
        <v>-</v>
      </c>
      <c r="G191" s="220">
        <v>3.4262295081967213</v>
      </c>
      <c r="H191" s="221">
        <f t="shared" si="35"/>
        <v>0.91460160121997713</v>
      </c>
      <c r="I191" s="220">
        <v>2.5813953488372094</v>
      </c>
      <c r="J191" s="221">
        <f t="shared" si="35"/>
        <v>-0.84483415935951189</v>
      </c>
      <c r="K191" s="220">
        <v>2.36</v>
      </c>
      <c r="L191" s="221">
        <f t="shared" si="36"/>
        <v>-0.22139534883720957</v>
      </c>
      <c r="M191" s="220">
        <v>4.5641025641025639</v>
      </c>
      <c r="N191" s="221">
        <f t="shared" si="34"/>
        <v>2.204102564102564</v>
      </c>
    </row>
    <row r="192" spans="1:15" x14ac:dyDescent="0.25">
      <c r="B192" s="145" t="s">
        <v>87</v>
      </c>
      <c r="C192" s="220">
        <v>2.6666666666666665</v>
      </c>
      <c r="D192" s="221">
        <v>0.8484848484848484</v>
      </c>
      <c r="E192" s="220">
        <v>1.7179487179487178</v>
      </c>
      <c r="F192" s="221">
        <f t="shared" si="35"/>
        <v>-0.94871794871794868</v>
      </c>
      <c r="G192" s="220">
        <v>2.406779661016949</v>
      </c>
      <c r="H192" s="221">
        <f t="shared" si="35"/>
        <v>0.68883094306823112</v>
      </c>
      <c r="I192" s="220">
        <v>2.3877551020408165</v>
      </c>
      <c r="J192" s="221">
        <f t="shared" si="35"/>
        <v>-1.9024558976132422E-2</v>
      </c>
      <c r="K192" s="220">
        <v>2.3050847457627119</v>
      </c>
      <c r="L192" s="221">
        <f t="shared" si="36"/>
        <v>-8.2670356278104595E-2</v>
      </c>
      <c r="M192" s="220">
        <v>4.243243243243243</v>
      </c>
      <c r="N192" s="221">
        <f t="shared" si="34"/>
        <v>1.938158497480531</v>
      </c>
    </row>
    <row r="193" spans="2:15" x14ac:dyDescent="0.25">
      <c r="B193" s="145" t="s">
        <v>89</v>
      </c>
      <c r="C193" s="220">
        <v>2.15</v>
      </c>
      <c r="D193" s="221">
        <v>0.64999999999999991</v>
      </c>
      <c r="E193" s="220">
        <v>2</v>
      </c>
      <c r="F193" s="221">
        <f t="shared" si="35"/>
        <v>-0.14999999999999991</v>
      </c>
      <c r="G193" s="220">
        <v>3.9</v>
      </c>
      <c r="H193" s="221">
        <f t="shared" si="35"/>
        <v>1.9</v>
      </c>
      <c r="I193" s="220">
        <v>2.9268292682926829</v>
      </c>
      <c r="J193" s="221">
        <f t="shared" si="35"/>
        <v>-0.97317073170731705</v>
      </c>
      <c r="K193" s="220">
        <v>3.8536585365853657</v>
      </c>
      <c r="L193" s="221">
        <f t="shared" si="36"/>
        <v>0.92682926829268286</v>
      </c>
      <c r="M193" s="220">
        <v>3.25</v>
      </c>
      <c r="N193" s="221">
        <f t="shared" si="34"/>
        <v>-0.60365853658536572</v>
      </c>
    </row>
    <row r="194" spans="2:15" x14ac:dyDescent="0.25">
      <c r="B194" s="145" t="s">
        <v>91</v>
      </c>
      <c r="C194" s="220">
        <v>1.8974358974358974</v>
      </c>
      <c r="D194" s="221">
        <v>-0.1766381766381766</v>
      </c>
      <c r="E194" s="220">
        <v>2.7580645161290325</v>
      </c>
      <c r="F194" s="221">
        <f t="shared" si="35"/>
        <v>0.86062861869313512</v>
      </c>
      <c r="G194" s="220">
        <v>2.2432432432432434</v>
      </c>
      <c r="H194" s="221">
        <f t="shared" si="35"/>
        <v>-0.51482127288578905</v>
      </c>
      <c r="I194" s="220">
        <v>2.9</v>
      </c>
      <c r="J194" s="221">
        <f t="shared" si="35"/>
        <v>0.65675675675675649</v>
      </c>
      <c r="K194" s="220">
        <v>2.736842105263158</v>
      </c>
      <c r="L194" s="221">
        <f t="shared" si="36"/>
        <v>-0.16315789473684195</v>
      </c>
      <c r="M194" s="220">
        <v>3.1969696969696968</v>
      </c>
      <c r="N194" s="221">
        <f t="shared" si="34"/>
        <v>0.46012759170653883</v>
      </c>
    </row>
    <row r="195" spans="2:15" x14ac:dyDescent="0.25">
      <c r="B195" s="145" t="s">
        <v>93</v>
      </c>
      <c r="C195" s="220">
        <v>2.4509803921568629</v>
      </c>
      <c r="D195" s="221">
        <v>0.91933482253660981</v>
      </c>
      <c r="E195" s="220">
        <v>3.0673076923076925</v>
      </c>
      <c r="F195" s="221">
        <f t="shared" si="35"/>
        <v>0.61632730015082959</v>
      </c>
      <c r="G195" s="220">
        <v>2.2428571428571429</v>
      </c>
      <c r="H195" s="221">
        <f t="shared" si="35"/>
        <v>-0.82445054945054963</v>
      </c>
      <c r="I195" s="220">
        <v>2.961904761904762</v>
      </c>
      <c r="J195" s="221">
        <f t="shared" si="35"/>
        <v>0.71904761904761916</v>
      </c>
      <c r="K195" s="220">
        <v>2.515625</v>
      </c>
      <c r="L195" s="221">
        <f t="shared" si="36"/>
        <v>-0.44627976190476204</v>
      </c>
      <c r="M195" s="220"/>
      <c r="N195" s="221"/>
    </row>
    <row r="196" spans="2:15" x14ac:dyDescent="0.25">
      <c r="B196" s="145" t="s">
        <v>95</v>
      </c>
      <c r="C196" s="220">
        <v>1.8</v>
      </c>
      <c r="D196" s="221">
        <v>-1.05</v>
      </c>
      <c r="E196" s="220">
        <v>2.4202898550724639</v>
      </c>
      <c r="F196" s="221">
        <f t="shared" si="35"/>
        <v>0.62028985507246381</v>
      </c>
      <c r="G196" s="220">
        <v>2.1538461538461537</v>
      </c>
      <c r="H196" s="221">
        <f t="shared" si="35"/>
        <v>-0.26644370122631011</v>
      </c>
      <c r="I196" s="220">
        <v>2.0506329113924049</v>
      </c>
      <c r="J196" s="221">
        <f t="shared" si="35"/>
        <v>-0.10321324245374885</v>
      </c>
      <c r="K196" s="220">
        <v>2.4335664335664338</v>
      </c>
      <c r="L196" s="221">
        <f t="shared" si="36"/>
        <v>0.38293352217402887</v>
      </c>
      <c r="M196" s="220"/>
      <c r="N196" s="221"/>
    </row>
    <row r="197" spans="2:15" ht="15.75" x14ac:dyDescent="0.25">
      <c r="B197" s="148" t="s">
        <v>32</v>
      </c>
      <c r="C197" s="222">
        <v>2.2450142450142452</v>
      </c>
      <c r="D197" s="223">
        <v>-0.25594914612255648</v>
      </c>
      <c r="E197" s="222">
        <v>2.5936883629191323</v>
      </c>
      <c r="F197" s="223">
        <f t="shared" si="35"/>
        <v>0.34867411790488712</v>
      </c>
      <c r="G197" s="222">
        <v>2.774193548387097</v>
      </c>
      <c r="H197" s="223">
        <f t="shared" si="35"/>
        <v>0.18050518546796468</v>
      </c>
      <c r="I197" s="222">
        <v>2.7876923076923079</v>
      </c>
      <c r="J197" s="223">
        <f t="shared" si="35"/>
        <v>1.3498759305210939E-2</v>
      </c>
      <c r="K197" s="222">
        <v>2.6112956810631229</v>
      </c>
      <c r="L197" s="223">
        <f t="shared" si="36"/>
        <v>-0.17639662662918498</v>
      </c>
      <c r="M197" s="222">
        <v>3.4298507462686567</v>
      </c>
      <c r="N197" s="223">
        <v>0.77324155086635793</v>
      </c>
    </row>
    <row r="198" spans="2:15" ht="6" customHeight="1" x14ac:dyDescent="0.25"/>
    <row r="199" spans="2:15" x14ac:dyDescent="0.25">
      <c r="B199" s="131" t="s">
        <v>57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K200" s="151"/>
    </row>
    <row r="201" spans="2:15" x14ac:dyDescent="0.25"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</row>
    <row r="202" spans="2:15" ht="48.75" customHeight="1" thickBot="1" x14ac:dyDescent="0.3">
      <c r="B202" s="12" t="s">
        <v>301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123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124</v>
      </c>
    </row>
    <row r="204" spans="2:15" ht="22.5" thickTop="1" thickBot="1" x14ac:dyDescent="0.3">
      <c r="B204" s="152" t="str">
        <f>C204</f>
        <v>Países Bajos</v>
      </c>
      <c r="C204" s="135" t="s">
        <v>125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v>2020</v>
      </c>
      <c r="D205" s="139"/>
      <c r="E205" s="140">
        <v>2021</v>
      </c>
      <c r="F205" s="139"/>
      <c r="G205" s="140">
        <v>2022</v>
      </c>
      <c r="H205" s="139"/>
      <c r="I205" s="140">
        <v>2023</v>
      </c>
      <c r="J205" s="139"/>
      <c r="K205" s="140">
        <v>2024</v>
      </c>
      <c r="L205" s="139"/>
      <c r="M205" s="140">
        <v>2025</v>
      </c>
      <c r="N205" s="141"/>
    </row>
    <row r="206" spans="2:15" ht="16.5" thickTop="1" thickBot="1" x14ac:dyDescent="0.3">
      <c r="B206" s="109"/>
      <c r="C206" s="142" t="s">
        <v>71</v>
      </c>
      <c r="D206" s="143" t="str">
        <f>CONCATENATE("dif ",RIGHT(C205,2),"/",RIGHT(C205-1,2))</f>
        <v>dif 20/19</v>
      </c>
      <c r="E206" s="144" t="s">
        <v>71</v>
      </c>
      <c r="F206" s="143" t="str">
        <f>CONCATENATE("dif ",RIGHT(E205,2),"/",RIGHT(C205,2))</f>
        <v>dif 21/20</v>
      </c>
      <c r="G206" s="144" t="s">
        <v>71</v>
      </c>
      <c r="H206" s="143" t="str">
        <f>CONCATENATE("dif ",RIGHT(G205,2),"/",RIGHT(E205,2))</f>
        <v>dif 22/21</v>
      </c>
      <c r="I206" s="144" t="s">
        <v>71</v>
      </c>
      <c r="J206" s="143" t="str">
        <f>CONCATENATE("dif ",RIGHT(I205,2),"/",RIGHT(G205,2))</f>
        <v>dif 23/22</v>
      </c>
      <c r="K206" s="144" t="s">
        <v>71</v>
      </c>
      <c r="L206" s="143" t="str">
        <f>CONCATENATE("dif ",RIGHT(K205,2),"/",RIGHT(I205,2))</f>
        <v>dif 24/23</v>
      </c>
      <c r="M206" s="144" t="s">
        <v>71</v>
      </c>
      <c r="N206" s="143" t="str">
        <f>CONCATENATE("dif ",RIGHT(M205,2),"/",RIGHT(K205,2))</f>
        <v>dif 25/24</v>
      </c>
    </row>
    <row r="207" spans="2:15" x14ac:dyDescent="0.25">
      <c r="B207" s="145" t="s">
        <v>73</v>
      </c>
      <c r="C207" s="220">
        <v>2.3258426966292136</v>
      </c>
      <c r="D207" s="221">
        <v>-1.0866573033707865</v>
      </c>
      <c r="E207" s="220">
        <v>1.6</v>
      </c>
      <c r="F207" s="221">
        <f t="shared" ref="F207:J209" si="37">IFERROR(E207-C207,"-")</f>
        <v>-0.72584269662921352</v>
      </c>
      <c r="G207" s="220">
        <v>3.8759689922480618</v>
      </c>
      <c r="H207" s="221">
        <f t="shared" si="37"/>
        <v>2.2759689922480617</v>
      </c>
      <c r="I207" s="220">
        <v>4.2846715328467155</v>
      </c>
      <c r="J207" s="221">
        <f t="shared" si="37"/>
        <v>0.40870254059865374</v>
      </c>
      <c r="K207" s="220">
        <v>4.0129870129870131</v>
      </c>
      <c r="L207" s="221">
        <f t="shared" ref="L207:L209" si="38">IFERROR(K207-I207,"-")</f>
        <v>-0.27168451985970243</v>
      </c>
      <c r="M207" s="220">
        <v>2.6703296703296702</v>
      </c>
      <c r="N207" s="221">
        <f t="shared" ref="N207:N216" si="39">IFERROR(M207-K207,"-")</f>
        <v>-1.3426573426573429</v>
      </c>
    </row>
    <row r="208" spans="2:15" x14ac:dyDescent="0.25">
      <c r="B208" s="145" t="s">
        <v>75</v>
      </c>
      <c r="C208" s="220">
        <v>3.5098039215686274</v>
      </c>
      <c r="D208" s="221">
        <v>-0.88602941176470562</v>
      </c>
      <c r="E208" s="220">
        <v>1.7</v>
      </c>
      <c r="F208" s="221">
        <f t="shared" si="37"/>
        <v>-1.8098039215686275</v>
      </c>
      <c r="G208" s="220">
        <v>3.2136752136752138</v>
      </c>
      <c r="H208" s="221">
        <f t="shared" si="37"/>
        <v>1.5136752136752138</v>
      </c>
      <c r="I208" s="220">
        <v>4.5227272727272725</v>
      </c>
      <c r="J208" s="221">
        <f t="shared" si="37"/>
        <v>1.3090520590520587</v>
      </c>
      <c r="K208" s="220">
        <v>3.5890410958904111</v>
      </c>
      <c r="L208" s="221">
        <f t="shared" si="38"/>
        <v>-0.93368617683686139</v>
      </c>
      <c r="M208" s="220">
        <v>3</v>
      </c>
      <c r="N208" s="221">
        <f t="shared" si="39"/>
        <v>-0.58904109589041109</v>
      </c>
    </row>
    <row r="209" spans="2:15" x14ac:dyDescent="0.25">
      <c r="B209" s="145" t="s">
        <v>77</v>
      </c>
      <c r="C209" s="220">
        <v>4.1304347826086953</v>
      </c>
      <c r="D209" s="221">
        <v>1.4637681159420288</v>
      </c>
      <c r="E209" s="220">
        <v>2.2272727272727271</v>
      </c>
      <c r="F209" s="221">
        <f t="shared" si="37"/>
        <v>-1.9031620553359683</v>
      </c>
      <c r="G209" s="220">
        <v>2.9935897435897436</v>
      </c>
      <c r="H209" s="221">
        <f t="shared" si="37"/>
        <v>0.76631701631701654</v>
      </c>
      <c r="I209" s="220">
        <v>3.8451612903225807</v>
      </c>
      <c r="J209" s="221">
        <f t="shared" si="37"/>
        <v>0.85157154673283708</v>
      </c>
      <c r="K209" s="220">
        <v>3.3227848101265822</v>
      </c>
      <c r="L209" s="221">
        <f t="shared" si="38"/>
        <v>-0.52237648019599847</v>
      </c>
      <c r="M209" s="220">
        <v>3.0183486238532109</v>
      </c>
      <c r="N209" s="221">
        <f t="shared" si="39"/>
        <v>-0.30443618627337132</v>
      </c>
    </row>
    <row r="210" spans="2:15" x14ac:dyDescent="0.25">
      <c r="B210" s="145" t="s">
        <v>79</v>
      </c>
      <c r="C210" s="220" t="s">
        <v>233</v>
      </c>
      <c r="D210" s="221" t="s">
        <v>233</v>
      </c>
      <c r="E210" s="220">
        <v>3.75</v>
      </c>
      <c r="F210" s="221" t="str">
        <f>IFERROR(E210-C210,"-")</f>
        <v>-</v>
      </c>
      <c r="G210" s="220">
        <v>3.8653846153846154</v>
      </c>
      <c r="H210" s="221">
        <f>IFERROR(G210-E210,"-")</f>
        <v>0.11538461538461542</v>
      </c>
      <c r="I210" s="220">
        <v>2.9874999999999998</v>
      </c>
      <c r="J210" s="221">
        <f>IFERROR(I210-G210,"-")</f>
        <v>-0.8778846153846156</v>
      </c>
      <c r="K210" s="220">
        <v>7.709677419354839</v>
      </c>
      <c r="L210" s="221">
        <f>IFERROR(K210-I210,"-")</f>
        <v>4.7221774193548391</v>
      </c>
      <c r="M210" s="220">
        <v>2.9375</v>
      </c>
      <c r="N210" s="221">
        <f t="shared" si="39"/>
        <v>-4.772177419354839</v>
      </c>
    </row>
    <row r="211" spans="2:15" x14ac:dyDescent="0.25">
      <c r="B211" s="145" t="s">
        <v>81</v>
      </c>
      <c r="C211" s="220" t="s">
        <v>233</v>
      </c>
      <c r="D211" s="221" t="s">
        <v>233</v>
      </c>
      <c r="E211" s="220">
        <v>3.1666666666666665</v>
      </c>
      <c r="F211" s="221" t="str">
        <f t="shared" ref="F211:J219" si="40">IFERROR(E211-C211,"-")</f>
        <v>-</v>
      </c>
      <c r="G211" s="220">
        <v>4.5925925925925926</v>
      </c>
      <c r="H211" s="221">
        <f t="shared" si="40"/>
        <v>1.425925925925926</v>
      </c>
      <c r="I211" s="220">
        <v>4.8780487804878048</v>
      </c>
      <c r="J211" s="221">
        <f t="shared" si="40"/>
        <v>0.28545618789521221</v>
      </c>
      <c r="K211" s="220">
        <v>5.4523809523809526</v>
      </c>
      <c r="L211" s="221">
        <f t="shared" ref="L211:L219" si="41">IFERROR(K211-I211,"-")</f>
        <v>0.57433217189314778</v>
      </c>
      <c r="M211" s="220">
        <v>3.9142857142857141</v>
      </c>
      <c r="N211" s="221">
        <f t="shared" si="39"/>
        <v>-1.5380952380952384</v>
      </c>
    </row>
    <row r="212" spans="2:15" x14ac:dyDescent="0.25">
      <c r="B212" s="145" t="s">
        <v>83</v>
      </c>
      <c r="C212" s="220" t="s">
        <v>233</v>
      </c>
      <c r="D212" s="221" t="s">
        <v>233</v>
      </c>
      <c r="E212" s="220">
        <v>3.0588235294117645</v>
      </c>
      <c r="F212" s="221" t="str">
        <f t="shared" si="40"/>
        <v>-</v>
      </c>
      <c r="G212" s="220">
        <v>5.2705882352941176</v>
      </c>
      <c r="H212" s="221">
        <f t="shared" si="40"/>
        <v>2.2117647058823531</v>
      </c>
      <c r="I212" s="220">
        <v>4.2333333333333334</v>
      </c>
      <c r="J212" s="221">
        <f t="shared" si="40"/>
        <v>-1.0372549019607842</v>
      </c>
      <c r="K212" s="220">
        <v>8.7222222222222214</v>
      </c>
      <c r="L212" s="221">
        <f t="shared" si="41"/>
        <v>4.488888888888888</v>
      </c>
      <c r="M212" s="220">
        <v>4.6969696969696972</v>
      </c>
      <c r="N212" s="221">
        <f t="shared" si="39"/>
        <v>-4.0252525252525242</v>
      </c>
    </row>
    <row r="213" spans="2:15" x14ac:dyDescent="0.25">
      <c r="B213" s="145" t="s">
        <v>85</v>
      </c>
      <c r="C213" s="220" t="s">
        <v>233</v>
      </c>
      <c r="D213" s="221" t="s">
        <v>233</v>
      </c>
      <c r="E213" s="220">
        <v>2.4666666666666668</v>
      </c>
      <c r="F213" s="221" t="str">
        <f t="shared" si="40"/>
        <v>-</v>
      </c>
      <c r="G213" s="220">
        <v>3.6904761904761907</v>
      </c>
      <c r="H213" s="221">
        <f t="shared" si="40"/>
        <v>1.2238095238095239</v>
      </c>
      <c r="I213" s="220">
        <v>4.6315789473684212</v>
      </c>
      <c r="J213" s="221">
        <f t="shared" si="40"/>
        <v>0.94110275689223055</v>
      </c>
      <c r="K213" s="220">
        <v>4.6206896551724137</v>
      </c>
      <c r="L213" s="221">
        <f t="shared" si="41"/>
        <v>-1.0889292196007538E-2</v>
      </c>
      <c r="M213" s="220">
        <v>2.8260869565217392</v>
      </c>
      <c r="N213" s="221">
        <f t="shared" si="39"/>
        <v>-1.7946026986506745</v>
      </c>
    </row>
    <row r="214" spans="2:15" x14ac:dyDescent="0.25">
      <c r="B214" s="145" t="s">
        <v>87</v>
      </c>
      <c r="C214" s="220">
        <v>2.1111111111111112</v>
      </c>
      <c r="D214" s="221">
        <v>-5.5467836257309937</v>
      </c>
      <c r="E214" s="220">
        <v>3.1666666666666665</v>
      </c>
      <c r="F214" s="221">
        <f t="shared" si="40"/>
        <v>1.0555555555555554</v>
      </c>
      <c r="G214" s="220">
        <v>3.6132075471698113</v>
      </c>
      <c r="H214" s="221">
        <f t="shared" si="40"/>
        <v>0.44654088050314478</v>
      </c>
      <c r="I214" s="220">
        <v>3.3260869565217392</v>
      </c>
      <c r="J214" s="221">
        <f t="shared" si="40"/>
        <v>-0.28712059064807205</v>
      </c>
      <c r="K214" s="220">
        <v>5.0930232558139537</v>
      </c>
      <c r="L214" s="221">
        <f t="shared" si="41"/>
        <v>1.7669362992922144</v>
      </c>
      <c r="M214" s="220">
        <v>4.2608695652173916</v>
      </c>
      <c r="N214" s="221">
        <f t="shared" si="39"/>
        <v>-0.83215369059656208</v>
      </c>
    </row>
    <row r="215" spans="2:15" x14ac:dyDescent="0.25">
      <c r="B215" s="145" t="s">
        <v>89</v>
      </c>
      <c r="C215" s="220">
        <v>1</v>
      </c>
      <c r="D215" s="221">
        <v>-3</v>
      </c>
      <c r="E215" s="220">
        <v>6.2307692307692308</v>
      </c>
      <c r="F215" s="221">
        <f t="shared" si="40"/>
        <v>5.2307692307692308</v>
      </c>
      <c r="G215" s="220">
        <v>5.0454545454545459</v>
      </c>
      <c r="H215" s="221">
        <f t="shared" si="40"/>
        <v>-1.185314685314685</v>
      </c>
      <c r="I215" s="220">
        <v>6.258064516129032</v>
      </c>
      <c r="J215" s="221">
        <f t="shared" si="40"/>
        <v>1.2126099706744862</v>
      </c>
      <c r="K215" s="220">
        <v>3.903225806451613</v>
      </c>
      <c r="L215" s="221">
        <f t="shared" si="41"/>
        <v>-2.354838709677419</v>
      </c>
      <c r="M215" s="220">
        <v>4.3181818181818183</v>
      </c>
      <c r="N215" s="221">
        <f t="shared" si="39"/>
        <v>0.41495601173020535</v>
      </c>
    </row>
    <row r="216" spans="2:15" x14ac:dyDescent="0.25">
      <c r="B216" s="145" t="s">
        <v>91</v>
      </c>
      <c r="C216" s="220">
        <v>1.25</v>
      </c>
      <c r="D216" s="221">
        <v>-2.1725352112676055</v>
      </c>
      <c r="E216" s="220">
        <v>2.9565217391304346</v>
      </c>
      <c r="F216" s="221">
        <f t="shared" si="40"/>
        <v>1.7065217391304346</v>
      </c>
      <c r="G216" s="220">
        <v>6.3611111111111107</v>
      </c>
      <c r="H216" s="221">
        <f t="shared" si="40"/>
        <v>3.4045893719806761</v>
      </c>
      <c r="I216" s="220">
        <v>4.092307692307692</v>
      </c>
      <c r="J216" s="221">
        <f t="shared" si="40"/>
        <v>-2.2688034188034187</v>
      </c>
      <c r="K216" s="220">
        <v>1.9620253164556962</v>
      </c>
      <c r="L216" s="221">
        <f t="shared" si="41"/>
        <v>-2.130282375851996</v>
      </c>
      <c r="M216" s="220">
        <v>3.4150943396226414</v>
      </c>
      <c r="N216" s="221">
        <f t="shared" si="39"/>
        <v>1.4530690231669452</v>
      </c>
    </row>
    <row r="217" spans="2:15" x14ac:dyDescent="0.25">
      <c r="B217" s="145" t="s">
        <v>93</v>
      </c>
      <c r="C217" s="220">
        <v>1.3333333333333333</v>
      </c>
      <c r="D217" s="221">
        <v>-0.74213836477987427</v>
      </c>
      <c r="E217" s="220">
        <v>2.7094017094017095</v>
      </c>
      <c r="F217" s="221">
        <f t="shared" si="40"/>
        <v>1.3760683760683763</v>
      </c>
      <c r="G217" s="220">
        <v>7.666666666666667</v>
      </c>
      <c r="H217" s="221">
        <f t="shared" si="40"/>
        <v>4.9572649572649574</v>
      </c>
      <c r="I217" s="220">
        <v>2.8245614035087718</v>
      </c>
      <c r="J217" s="221">
        <f t="shared" si="40"/>
        <v>-4.8421052631578956</v>
      </c>
      <c r="K217" s="220">
        <v>3.4358974358974357</v>
      </c>
      <c r="L217" s="221">
        <f t="shared" si="41"/>
        <v>0.61133603238866385</v>
      </c>
      <c r="M217" s="220"/>
      <c r="N217" s="221"/>
    </row>
    <row r="218" spans="2:15" x14ac:dyDescent="0.25">
      <c r="B218" s="145" t="s">
        <v>95</v>
      </c>
      <c r="C218" s="220">
        <v>1</v>
      </c>
      <c r="D218" s="221">
        <v>-1.4624999999999999</v>
      </c>
      <c r="E218" s="220">
        <v>3.2523364485981308</v>
      </c>
      <c r="F218" s="221">
        <f t="shared" si="40"/>
        <v>2.2523364485981308</v>
      </c>
      <c r="G218" s="220">
        <v>3.0909090909090908</v>
      </c>
      <c r="H218" s="221">
        <f t="shared" si="40"/>
        <v>-0.16142735768903993</v>
      </c>
      <c r="I218" s="220">
        <v>3.2300884955752212</v>
      </c>
      <c r="J218" s="221">
        <f t="shared" si="40"/>
        <v>0.13917940466613032</v>
      </c>
      <c r="K218" s="220">
        <v>2.8666666666666667</v>
      </c>
      <c r="L218" s="221">
        <f t="shared" si="41"/>
        <v>-0.36342182890855446</v>
      </c>
      <c r="M218" s="220"/>
      <c r="N218" s="221"/>
    </row>
    <row r="219" spans="2:15" ht="15.75" x14ac:dyDescent="0.25">
      <c r="B219" s="148" t="s">
        <v>32</v>
      </c>
      <c r="C219" s="222">
        <v>2.9102167182662537</v>
      </c>
      <c r="D219" s="223">
        <v>-0.50895352493832435</v>
      </c>
      <c r="E219" s="222">
        <v>3.2060185185185186</v>
      </c>
      <c r="F219" s="223">
        <f t="shared" si="40"/>
        <v>0.29580180025226488</v>
      </c>
      <c r="G219" s="222">
        <v>4.25</v>
      </c>
      <c r="H219" s="223">
        <f t="shared" si="40"/>
        <v>1.0439814814814814</v>
      </c>
      <c r="I219" s="222">
        <v>3.8624733475479744</v>
      </c>
      <c r="J219" s="223">
        <f t="shared" si="40"/>
        <v>-0.38752665245202556</v>
      </c>
      <c r="K219" s="222">
        <v>4.072883172561629</v>
      </c>
      <c r="L219" s="223">
        <f t="shared" si="41"/>
        <v>0.21040982501365457</v>
      </c>
      <c r="M219" s="222">
        <v>3.1819444444444445</v>
      </c>
      <c r="N219" s="223">
        <v>-1.0706196581196581</v>
      </c>
    </row>
    <row r="220" spans="2:15" ht="6" customHeight="1" x14ac:dyDescent="0.25"/>
    <row r="221" spans="2:15" x14ac:dyDescent="0.25">
      <c r="B221" s="131" t="s">
        <v>57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K222" s="151"/>
      <c r="M222" s="153"/>
    </row>
    <row r="224" spans="2:15" ht="48.75" customHeight="1" thickBot="1" x14ac:dyDescent="0.3">
      <c r="B224" s="12" t="s">
        <v>300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126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127</v>
      </c>
    </row>
    <row r="226" spans="2:15" ht="22.5" thickTop="1" thickBot="1" x14ac:dyDescent="0.3">
      <c r="B226" s="152" t="str">
        <f>C226</f>
        <v>Bélgica</v>
      </c>
      <c r="C226" s="135" t="s">
        <v>121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v>2020</v>
      </c>
      <c r="D227" s="139"/>
      <c r="E227" s="140">
        <v>2021</v>
      </c>
      <c r="F227" s="139"/>
      <c r="G227" s="140">
        <v>2022</v>
      </c>
      <c r="H227" s="139"/>
      <c r="I227" s="140">
        <v>2023</v>
      </c>
      <c r="J227" s="139"/>
      <c r="K227" s="140">
        <v>2024</v>
      </c>
      <c r="L227" s="139"/>
      <c r="M227" s="140">
        <v>2025</v>
      </c>
      <c r="N227" s="141"/>
    </row>
    <row r="228" spans="2:15" ht="16.5" thickTop="1" thickBot="1" x14ac:dyDescent="0.3">
      <c r="B228" s="109"/>
      <c r="C228" s="142" t="s">
        <v>71</v>
      </c>
      <c r="D228" s="143" t="str">
        <f>CONCATENATE("dif ",RIGHT(C227,2),"/",RIGHT(C227-1,2))</f>
        <v>dif 20/19</v>
      </c>
      <c r="E228" s="144" t="s">
        <v>71</v>
      </c>
      <c r="F228" s="143" t="str">
        <f>CONCATENATE("dif ",RIGHT(E227,2),"/",RIGHT(C227,2))</f>
        <v>dif 21/20</v>
      </c>
      <c r="G228" s="144" t="s">
        <v>71</v>
      </c>
      <c r="H228" s="143" t="str">
        <f>CONCATENATE("dif ",RIGHT(G227,2),"/",RIGHT(E227,2))</f>
        <v>dif 22/21</v>
      </c>
      <c r="I228" s="144" t="s">
        <v>71</v>
      </c>
      <c r="J228" s="143" t="str">
        <f>CONCATENATE("dif ",RIGHT(I227,2),"/",RIGHT(G227,2))</f>
        <v>dif 23/22</v>
      </c>
      <c r="K228" s="144" t="s">
        <v>71</v>
      </c>
      <c r="L228" s="143" t="str">
        <f>CONCATENATE("dif ",RIGHT(K227,2),"/",RIGHT(I227,2))</f>
        <v>dif 24/23</v>
      </c>
      <c r="M228" s="144" t="s">
        <v>71</v>
      </c>
      <c r="N228" s="143" t="str">
        <f>CONCATENATE("dif ",RIGHT(M227,2),"/",RIGHT(K227,2))</f>
        <v>dif 25/24</v>
      </c>
    </row>
    <row r="229" spans="2:15" x14ac:dyDescent="0.25">
      <c r="B229" s="145" t="s">
        <v>73</v>
      </c>
      <c r="C229" s="220">
        <v>2.408450704225352</v>
      </c>
      <c r="D229" s="221">
        <v>-0.17263037685572913</v>
      </c>
      <c r="E229" s="220">
        <v>3.375</v>
      </c>
      <c r="F229" s="221">
        <f t="shared" ref="F229:J231" si="42">IFERROR(E229-C229,"-")</f>
        <v>0.96654929577464799</v>
      </c>
      <c r="G229" s="220">
        <v>2.6404494382022472</v>
      </c>
      <c r="H229" s="221">
        <f t="shared" si="42"/>
        <v>-0.7345505617977528</v>
      </c>
      <c r="I229" s="220">
        <v>2.5185185185185186</v>
      </c>
      <c r="J229" s="221">
        <f t="shared" si="42"/>
        <v>-0.1219309196837286</v>
      </c>
      <c r="K229" s="220">
        <v>2.2865497076023393</v>
      </c>
      <c r="L229" s="221">
        <f t="shared" ref="L229:L231" si="43">IFERROR(K229-I229,"-")</f>
        <v>-0.23196881091617927</v>
      </c>
      <c r="M229" s="220">
        <v>2.7923076923076922</v>
      </c>
      <c r="N229" s="221">
        <f t="shared" ref="N229:N238" si="44">IFERROR(M229-K229,"-")</f>
        <v>0.50575798470535283</v>
      </c>
    </row>
    <row r="230" spans="2:15" x14ac:dyDescent="0.25">
      <c r="B230" s="145" t="s">
        <v>75</v>
      </c>
      <c r="C230" s="220">
        <v>2.7586206896551726</v>
      </c>
      <c r="D230" s="221">
        <v>-0.2413793103448274</v>
      </c>
      <c r="E230" s="220">
        <v>4</v>
      </c>
      <c r="F230" s="221">
        <f t="shared" si="42"/>
        <v>1.2413793103448274</v>
      </c>
      <c r="G230" s="220">
        <v>2.925925925925926</v>
      </c>
      <c r="H230" s="221">
        <f t="shared" si="42"/>
        <v>-1.074074074074074</v>
      </c>
      <c r="I230" s="220">
        <v>3</v>
      </c>
      <c r="J230" s="221">
        <f t="shared" si="42"/>
        <v>7.4074074074073959E-2</v>
      </c>
      <c r="K230" s="220">
        <v>3.2736842105263158</v>
      </c>
      <c r="L230" s="221">
        <f t="shared" si="43"/>
        <v>0.27368421052631575</v>
      </c>
      <c r="M230" s="220">
        <v>3.6956521739130435</v>
      </c>
      <c r="N230" s="221">
        <f t="shared" si="44"/>
        <v>0.42196796338672771</v>
      </c>
    </row>
    <row r="231" spans="2:15" x14ac:dyDescent="0.25">
      <c r="B231" s="145" t="s">
        <v>77</v>
      </c>
      <c r="C231" s="220">
        <v>1.34375</v>
      </c>
      <c r="D231" s="221">
        <v>-2.4923155737704916</v>
      </c>
      <c r="E231" s="220">
        <v>4.083333333333333</v>
      </c>
      <c r="F231" s="221">
        <f t="shared" si="42"/>
        <v>2.739583333333333</v>
      </c>
      <c r="G231" s="220">
        <v>3.3624999999999998</v>
      </c>
      <c r="H231" s="221">
        <f t="shared" si="42"/>
        <v>-0.72083333333333321</v>
      </c>
      <c r="I231" s="220">
        <v>4.253521126760563</v>
      </c>
      <c r="J231" s="221">
        <f t="shared" si="42"/>
        <v>0.89102112676056322</v>
      </c>
      <c r="K231" s="220">
        <v>3.043010752688172</v>
      </c>
      <c r="L231" s="221">
        <f t="shared" si="43"/>
        <v>-1.210510374072391</v>
      </c>
      <c r="M231" s="220">
        <v>3</v>
      </c>
      <c r="N231" s="221">
        <f t="shared" si="44"/>
        <v>-4.3010752688172005E-2</v>
      </c>
    </row>
    <row r="232" spans="2:15" x14ac:dyDescent="0.25">
      <c r="B232" s="145" t="s">
        <v>79</v>
      </c>
      <c r="C232" s="220" t="s">
        <v>233</v>
      </c>
      <c r="D232" s="221" t="s">
        <v>233</v>
      </c>
      <c r="E232" s="220">
        <v>2.0857142857142859</v>
      </c>
      <c r="F232" s="221" t="str">
        <f>IFERROR(E232-C232,"-")</f>
        <v>-</v>
      </c>
      <c r="G232" s="220">
        <v>2.6166666666666667</v>
      </c>
      <c r="H232" s="221">
        <f>IFERROR(G232-E232,"-")</f>
        <v>0.53095238095238084</v>
      </c>
      <c r="I232" s="220">
        <v>2.5909090909090908</v>
      </c>
      <c r="J232" s="221">
        <f>IFERROR(I232-G232,"-")</f>
        <v>-2.5757575757575868E-2</v>
      </c>
      <c r="K232" s="220">
        <v>2.6896551724137931</v>
      </c>
      <c r="L232" s="221">
        <f>IFERROR(K232-I232,"-")</f>
        <v>9.8746081504702321E-2</v>
      </c>
      <c r="M232" s="220">
        <v>3.3297872340425534</v>
      </c>
      <c r="N232" s="221">
        <f t="shared" si="44"/>
        <v>0.64013206162876024</v>
      </c>
    </row>
    <row r="233" spans="2:15" x14ac:dyDescent="0.25">
      <c r="B233" s="145" t="s">
        <v>81</v>
      </c>
      <c r="C233" s="220" t="s">
        <v>233</v>
      </c>
      <c r="D233" s="221" t="s">
        <v>233</v>
      </c>
      <c r="E233" s="220">
        <v>1.5454545454545454</v>
      </c>
      <c r="F233" s="221" t="str">
        <f t="shared" ref="F233:J241" si="45">IFERROR(E233-C233,"-")</f>
        <v>-</v>
      </c>
      <c r="G233" s="220">
        <v>3.25</v>
      </c>
      <c r="H233" s="221">
        <f t="shared" si="45"/>
        <v>1.7045454545454546</v>
      </c>
      <c r="I233" s="220">
        <v>2.59375</v>
      </c>
      <c r="J233" s="221">
        <f t="shared" si="45"/>
        <v>-0.65625</v>
      </c>
      <c r="K233" s="220">
        <v>1.346938775510204</v>
      </c>
      <c r="L233" s="221">
        <f t="shared" ref="L233:L241" si="46">IFERROR(K233-I233,"-")</f>
        <v>-1.246811224489796</v>
      </c>
      <c r="M233" s="220">
        <v>4</v>
      </c>
      <c r="N233" s="221">
        <f t="shared" si="44"/>
        <v>2.6530612244897958</v>
      </c>
    </row>
    <row r="234" spans="2:15" x14ac:dyDescent="0.25">
      <c r="B234" s="145" t="s">
        <v>83</v>
      </c>
      <c r="C234" s="220" t="s">
        <v>233</v>
      </c>
      <c r="D234" s="221" t="s">
        <v>233</v>
      </c>
      <c r="E234" s="220">
        <v>3.36</v>
      </c>
      <c r="F234" s="221" t="str">
        <f t="shared" si="45"/>
        <v>-</v>
      </c>
      <c r="G234" s="220">
        <v>2.2580645161290325</v>
      </c>
      <c r="H234" s="221">
        <f t="shared" si="45"/>
        <v>-1.1019354838709674</v>
      </c>
      <c r="I234" s="220">
        <v>2.28125</v>
      </c>
      <c r="J234" s="221">
        <f t="shared" si="45"/>
        <v>2.3185483870967527E-2</v>
      </c>
      <c r="K234" s="220">
        <v>2.8947368421052633</v>
      </c>
      <c r="L234" s="221">
        <f t="shared" si="46"/>
        <v>0.61348684210526327</v>
      </c>
      <c r="M234" s="220">
        <v>5.833333333333333</v>
      </c>
      <c r="N234" s="221">
        <f t="shared" si="44"/>
        <v>2.9385964912280698</v>
      </c>
    </row>
    <row r="235" spans="2:15" x14ac:dyDescent="0.25">
      <c r="B235" s="145" t="s">
        <v>85</v>
      </c>
      <c r="C235" s="220" t="s">
        <v>233</v>
      </c>
      <c r="D235" s="221" t="s">
        <v>233</v>
      </c>
      <c r="E235" s="220">
        <v>2.5116279069767442</v>
      </c>
      <c r="F235" s="221" t="str">
        <f t="shared" si="45"/>
        <v>-</v>
      </c>
      <c r="G235" s="220">
        <v>3.4262295081967213</v>
      </c>
      <c r="H235" s="221">
        <f t="shared" si="45"/>
        <v>0.91460160121997713</v>
      </c>
      <c r="I235" s="220">
        <v>2.5813953488372094</v>
      </c>
      <c r="J235" s="221">
        <f t="shared" si="45"/>
        <v>-0.84483415935951189</v>
      </c>
      <c r="K235" s="220">
        <v>2.36</v>
      </c>
      <c r="L235" s="221">
        <f t="shared" si="46"/>
        <v>-0.22139534883720957</v>
      </c>
      <c r="M235" s="220">
        <v>4.5641025641025639</v>
      </c>
      <c r="N235" s="221">
        <f t="shared" si="44"/>
        <v>2.204102564102564</v>
      </c>
    </row>
    <row r="236" spans="2:15" x14ac:dyDescent="0.25">
      <c r="B236" s="145" t="s">
        <v>87</v>
      </c>
      <c r="C236" s="220">
        <v>2.6666666666666665</v>
      </c>
      <c r="D236" s="221">
        <v>0.8484848484848484</v>
      </c>
      <c r="E236" s="220">
        <v>1.7179487179487178</v>
      </c>
      <c r="F236" s="221">
        <f t="shared" si="45"/>
        <v>-0.94871794871794868</v>
      </c>
      <c r="G236" s="220">
        <v>2.406779661016949</v>
      </c>
      <c r="H236" s="221">
        <f t="shared" si="45"/>
        <v>0.68883094306823112</v>
      </c>
      <c r="I236" s="220">
        <v>2.3877551020408165</v>
      </c>
      <c r="J236" s="221">
        <f t="shared" si="45"/>
        <v>-1.9024558976132422E-2</v>
      </c>
      <c r="K236" s="220">
        <v>2.3050847457627119</v>
      </c>
      <c r="L236" s="221">
        <f t="shared" si="46"/>
        <v>-8.2670356278104595E-2</v>
      </c>
      <c r="M236" s="220">
        <v>4.243243243243243</v>
      </c>
      <c r="N236" s="221">
        <f t="shared" si="44"/>
        <v>1.938158497480531</v>
      </c>
    </row>
    <row r="237" spans="2:15" x14ac:dyDescent="0.25">
      <c r="B237" s="145" t="s">
        <v>89</v>
      </c>
      <c r="C237" s="220">
        <v>2.15</v>
      </c>
      <c r="D237" s="221">
        <v>0.64999999999999991</v>
      </c>
      <c r="E237" s="220">
        <v>2</v>
      </c>
      <c r="F237" s="221">
        <f t="shared" si="45"/>
        <v>-0.14999999999999991</v>
      </c>
      <c r="G237" s="220">
        <v>3.9</v>
      </c>
      <c r="H237" s="221">
        <f t="shared" si="45"/>
        <v>1.9</v>
      </c>
      <c r="I237" s="220">
        <v>2.9268292682926829</v>
      </c>
      <c r="J237" s="221">
        <f t="shared" si="45"/>
        <v>-0.97317073170731705</v>
      </c>
      <c r="K237" s="220">
        <v>3.8536585365853657</v>
      </c>
      <c r="L237" s="221">
        <f t="shared" si="46"/>
        <v>0.92682926829268286</v>
      </c>
      <c r="M237" s="220">
        <v>3.25</v>
      </c>
      <c r="N237" s="221">
        <f t="shared" si="44"/>
        <v>-0.60365853658536572</v>
      </c>
    </row>
    <row r="238" spans="2:15" x14ac:dyDescent="0.25">
      <c r="B238" s="145" t="s">
        <v>91</v>
      </c>
      <c r="C238" s="220">
        <v>1.8974358974358974</v>
      </c>
      <c r="D238" s="221">
        <v>-0.1766381766381766</v>
      </c>
      <c r="E238" s="220">
        <v>2.7580645161290325</v>
      </c>
      <c r="F238" s="221">
        <f t="shared" si="45"/>
        <v>0.86062861869313512</v>
      </c>
      <c r="G238" s="220">
        <v>2.2432432432432434</v>
      </c>
      <c r="H238" s="221">
        <f t="shared" si="45"/>
        <v>-0.51482127288578905</v>
      </c>
      <c r="I238" s="220">
        <v>2.9</v>
      </c>
      <c r="J238" s="221">
        <f t="shared" si="45"/>
        <v>0.65675675675675649</v>
      </c>
      <c r="K238" s="220">
        <v>2.736842105263158</v>
      </c>
      <c r="L238" s="221">
        <f t="shared" si="46"/>
        <v>-0.16315789473684195</v>
      </c>
      <c r="M238" s="220">
        <v>3.1969696969696968</v>
      </c>
      <c r="N238" s="221">
        <f t="shared" si="44"/>
        <v>0.46012759170653883</v>
      </c>
    </row>
    <row r="239" spans="2:15" x14ac:dyDescent="0.25">
      <c r="B239" s="145" t="s">
        <v>93</v>
      </c>
      <c r="C239" s="220">
        <v>2.4509803921568629</v>
      </c>
      <c r="D239" s="221">
        <v>0.91933482253660981</v>
      </c>
      <c r="E239" s="220">
        <v>3.0673076923076925</v>
      </c>
      <c r="F239" s="221">
        <f t="shared" si="45"/>
        <v>0.61632730015082959</v>
      </c>
      <c r="G239" s="220">
        <v>2.2428571428571429</v>
      </c>
      <c r="H239" s="221">
        <f t="shared" si="45"/>
        <v>-0.82445054945054963</v>
      </c>
      <c r="I239" s="220">
        <v>2.961904761904762</v>
      </c>
      <c r="J239" s="221">
        <f t="shared" si="45"/>
        <v>0.71904761904761916</v>
      </c>
      <c r="K239" s="220">
        <v>2.515625</v>
      </c>
      <c r="L239" s="221">
        <f t="shared" si="46"/>
        <v>-0.44627976190476204</v>
      </c>
      <c r="M239" s="220"/>
      <c r="N239" s="221"/>
    </row>
    <row r="240" spans="2:15" x14ac:dyDescent="0.25">
      <c r="B240" s="145" t="s">
        <v>95</v>
      </c>
      <c r="C240" s="220">
        <v>1.8</v>
      </c>
      <c r="D240" s="221">
        <v>-1.05</v>
      </c>
      <c r="E240" s="220">
        <v>2.4202898550724639</v>
      </c>
      <c r="F240" s="221">
        <f t="shared" si="45"/>
        <v>0.62028985507246381</v>
      </c>
      <c r="G240" s="220">
        <v>2.1538461538461537</v>
      </c>
      <c r="H240" s="221">
        <f t="shared" si="45"/>
        <v>-0.26644370122631011</v>
      </c>
      <c r="I240" s="220">
        <v>2.0506329113924049</v>
      </c>
      <c r="J240" s="221">
        <f t="shared" si="45"/>
        <v>-0.10321324245374885</v>
      </c>
      <c r="K240" s="220">
        <v>2.4335664335664338</v>
      </c>
      <c r="L240" s="221">
        <f t="shared" si="46"/>
        <v>0.38293352217402887</v>
      </c>
      <c r="M240" s="220"/>
      <c r="N240" s="221"/>
    </row>
    <row r="241" spans="2:15" ht="15.75" x14ac:dyDescent="0.25">
      <c r="B241" s="148" t="s">
        <v>32</v>
      </c>
      <c r="C241" s="222">
        <v>2.2450142450142452</v>
      </c>
      <c r="D241" s="223">
        <v>-0.25594914612255648</v>
      </c>
      <c r="E241" s="222">
        <v>2.5936883629191323</v>
      </c>
      <c r="F241" s="223">
        <f t="shared" si="45"/>
        <v>0.34867411790488712</v>
      </c>
      <c r="G241" s="222">
        <v>2.774193548387097</v>
      </c>
      <c r="H241" s="223">
        <f t="shared" si="45"/>
        <v>0.18050518546796468</v>
      </c>
      <c r="I241" s="222">
        <v>2.7876923076923079</v>
      </c>
      <c r="J241" s="223">
        <f t="shared" si="45"/>
        <v>1.3498759305210939E-2</v>
      </c>
      <c r="K241" s="222">
        <v>2.6112956810631229</v>
      </c>
      <c r="L241" s="223">
        <f t="shared" si="46"/>
        <v>-0.17639662662918498</v>
      </c>
      <c r="M241" s="222">
        <v>3.4298507462686567</v>
      </c>
      <c r="N241" s="223">
        <v>0.77324155086635793</v>
      </c>
    </row>
    <row r="242" spans="2:15" ht="6" customHeight="1" x14ac:dyDescent="0.25"/>
    <row r="243" spans="2:15" x14ac:dyDescent="0.25">
      <c r="B243" s="131" t="s">
        <v>57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M244" s="131"/>
    </row>
    <row r="246" spans="2:15" ht="48.75" customHeight="1" thickBot="1" x14ac:dyDescent="0.3">
      <c r="B246" s="12" t="s">
        <v>302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" t="s">
        <v>128</v>
      </c>
    </row>
    <row r="247" spans="2:15" ht="10.5" customHeight="1" thickBot="1" x14ac:dyDescent="0.3">
      <c r="B247" s="132"/>
      <c r="C247" s="133"/>
      <c r="D247" s="132"/>
      <c r="E247" s="132"/>
      <c r="F247" s="132"/>
      <c r="G247" s="132"/>
      <c r="H247" s="132"/>
      <c r="I247" s="132"/>
      <c r="J247" s="132"/>
      <c r="K247" s="132"/>
      <c r="L247" s="132"/>
      <c r="M247" s="4"/>
      <c r="N247" s="4"/>
      <c r="O247" s="1" t="s">
        <v>129</v>
      </c>
    </row>
    <row r="248" spans="2:15" ht="22.5" thickTop="1" thickBot="1" x14ac:dyDescent="0.3">
      <c r="B248" s="152" t="str">
        <f>C248</f>
        <v>Dinamarca</v>
      </c>
      <c r="C248" s="135" t="s">
        <v>130</v>
      </c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</row>
    <row r="249" spans="2:15" ht="22.5" thickTop="1" thickBot="1" x14ac:dyDescent="0.3">
      <c r="B249" s="137"/>
      <c r="C249" s="138">
        <v>2020</v>
      </c>
      <c r="D249" s="139"/>
      <c r="E249" s="140">
        <v>2021</v>
      </c>
      <c r="F249" s="139"/>
      <c r="G249" s="140">
        <v>2022</v>
      </c>
      <c r="H249" s="139"/>
      <c r="I249" s="140">
        <v>2023</v>
      </c>
      <c r="J249" s="139"/>
      <c r="K249" s="140">
        <v>2024</v>
      </c>
      <c r="L249" s="139"/>
      <c r="M249" s="140">
        <v>2025</v>
      </c>
      <c r="N249" s="141"/>
    </row>
    <row r="250" spans="2:15" ht="16.5" thickTop="1" thickBot="1" x14ac:dyDescent="0.3">
      <c r="B250" s="109"/>
      <c r="C250" s="142" t="s">
        <v>71</v>
      </c>
      <c r="D250" s="143" t="str">
        <f>CONCATENATE("dif ",RIGHT(C249,2),"/",RIGHT(C249-1,2))</f>
        <v>dif 20/19</v>
      </c>
      <c r="E250" s="144" t="s">
        <v>71</v>
      </c>
      <c r="F250" s="143" t="str">
        <f>CONCATENATE("dif ",RIGHT(E249,2),"/",RIGHT(C249,2))</f>
        <v>dif 21/20</v>
      </c>
      <c r="G250" s="144" t="s">
        <v>71</v>
      </c>
      <c r="H250" s="143" t="str">
        <f>CONCATENATE("dif ",RIGHT(G249,2),"/",RIGHT(E249,2))</f>
        <v>dif 22/21</v>
      </c>
      <c r="I250" s="144" t="s">
        <v>71</v>
      </c>
      <c r="J250" s="143" t="str">
        <f>CONCATENATE("dif ",RIGHT(I249,2),"/",RIGHT(G249,2))</f>
        <v>dif 23/22</v>
      </c>
      <c r="K250" s="144" t="s">
        <v>71</v>
      </c>
      <c r="L250" s="143" t="str">
        <f>CONCATENATE("dif ",RIGHT(K249,2),"/",RIGHT(I249,2))</f>
        <v>dif 24/23</v>
      </c>
      <c r="M250" s="144" t="s">
        <v>71</v>
      </c>
      <c r="N250" s="143" t="str">
        <f>CONCATENATE("dif ",RIGHT(M249,2),"/",RIGHT(K249,2))</f>
        <v>dif 25/24</v>
      </c>
    </row>
    <row r="251" spans="2:15" x14ac:dyDescent="0.25">
      <c r="B251" s="145" t="s">
        <v>73</v>
      </c>
      <c r="C251" s="220">
        <v>3.7241379310344827</v>
      </c>
      <c r="D251" s="221">
        <v>0.44636015325670497</v>
      </c>
      <c r="E251" s="220">
        <v>1.25</v>
      </c>
      <c r="F251" s="221">
        <f t="shared" ref="F251:J253" si="47">IFERROR(E251-C251,"-")</f>
        <v>-2.4741379310344827</v>
      </c>
      <c r="G251" s="220">
        <v>4.04</v>
      </c>
      <c r="H251" s="221">
        <f t="shared" si="47"/>
        <v>2.79</v>
      </c>
      <c r="I251" s="220">
        <v>3.6111111111111112</v>
      </c>
      <c r="J251" s="221">
        <f t="shared" si="47"/>
        <v>-0.42888888888888888</v>
      </c>
      <c r="K251" s="220">
        <v>2.8793103448275863</v>
      </c>
      <c r="L251" s="221">
        <f t="shared" ref="L251:L253" si="48">IFERROR(K251-I251,"-")</f>
        <v>-0.73180076628352486</v>
      </c>
      <c r="M251" s="220">
        <v>3.0909090909090908</v>
      </c>
      <c r="N251" s="221">
        <f t="shared" ref="N251:N260" si="49">IFERROR(M251-K251,"-")</f>
        <v>0.21159874608150453</v>
      </c>
    </row>
    <row r="252" spans="2:15" x14ac:dyDescent="0.25">
      <c r="B252" s="145" t="s">
        <v>75</v>
      </c>
      <c r="C252" s="220">
        <v>4.2941176470588234</v>
      </c>
      <c r="D252" s="221">
        <v>1.9705882352941173</v>
      </c>
      <c r="E252" s="220">
        <v>1</v>
      </c>
      <c r="F252" s="221">
        <f t="shared" si="47"/>
        <v>-3.2941176470588234</v>
      </c>
      <c r="G252" s="220">
        <v>2.9384615384615387</v>
      </c>
      <c r="H252" s="221">
        <f t="shared" si="47"/>
        <v>1.9384615384615387</v>
      </c>
      <c r="I252" s="220">
        <v>1.8235294117647058</v>
      </c>
      <c r="J252" s="221">
        <f t="shared" si="47"/>
        <v>-1.1149321266968328</v>
      </c>
      <c r="K252" s="220">
        <v>4.2424242424242422</v>
      </c>
      <c r="L252" s="221">
        <f t="shared" si="48"/>
        <v>2.4188948306595366</v>
      </c>
      <c r="M252" s="220">
        <v>1.8461538461538463</v>
      </c>
      <c r="N252" s="221">
        <f t="shared" si="49"/>
        <v>-2.396270396270396</v>
      </c>
    </row>
    <row r="253" spans="2:15" x14ac:dyDescent="0.25">
      <c r="B253" s="145" t="s">
        <v>77</v>
      </c>
      <c r="C253" s="220">
        <v>21</v>
      </c>
      <c r="D253" s="221">
        <v>17.2</v>
      </c>
      <c r="E253" s="220">
        <v>7</v>
      </c>
      <c r="F253" s="221">
        <f t="shared" si="47"/>
        <v>-14</v>
      </c>
      <c r="G253" s="220">
        <v>1.9318181818181819</v>
      </c>
      <c r="H253" s="221">
        <f t="shared" si="47"/>
        <v>-5.0681818181818183</v>
      </c>
      <c r="I253" s="220">
        <v>2</v>
      </c>
      <c r="J253" s="221">
        <f t="shared" si="47"/>
        <v>6.8181818181818121E-2</v>
      </c>
      <c r="K253" s="220">
        <v>4.7692307692307692</v>
      </c>
      <c r="L253" s="221">
        <f t="shared" si="48"/>
        <v>2.7692307692307692</v>
      </c>
      <c r="M253" s="220">
        <v>2.6</v>
      </c>
      <c r="N253" s="221">
        <f t="shared" si="49"/>
        <v>-2.1692307692307691</v>
      </c>
    </row>
    <row r="254" spans="2:15" x14ac:dyDescent="0.25">
      <c r="B254" s="145" t="s">
        <v>79</v>
      </c>
      <c r="C254" s="220" t="s">
        <v>233</v>
      </c>
      <c r="D254" s="221" t="s">
        <v>233</v>
      </c>
      <c r="E254" s="220">
        <v>1.8</v>
      </c>
      <c r="F254" s="221" t="str">
        <f>IFERROR(E254-C254,"-")</f>
        <v>-</v>
      </c>
      <c r="G254" s="220">
        <v>1.7</v>
      </c>
      <c r="H254" s="221">
        <f>IFERROR(G254-E254,"-")</f>
        <v>-0.10000000000000009</v>
      </c>
      <c r="I254" s="220">
        <v>2.625</v>
      </c>
      <c r="J254" s="221">
        <f>IFERROR(I254-G254,"-")</f>
        <v>0.92500000000000004</v>
      </c>
      <c r="K254" s="220" t="s">
        <v>233</v>
      </c>
      <c r="L254" s="221" t="str">
        <f>IFERROR(K254-I254,"-")</f>
        <v>-</v>
      </c>
      <c r="M254" s="220">
        <v>3.6666666666666665</v>
      </c>
      <c r="N254" s="221" t="str">
        <f t="shared" si="49"/>
        <v>-</v>
      </c>
    </row>
    <row r="255" spans="2:15" x14ac:dyDescent="0.25">
      <c r="B255" s="145" t="s">
        <v>81</v>
      </c>
      <c r="C255" s="220" t="s">
        <v>233</v>
      </c>
      <c r="D255" s="221" t="s">
        <v>233</v>
      </c>
      <c r="E255" s="220">
        <v>6</v>
      </c>
      <c r="F255" s="221" t="str">
        <f t="shared" ref="F255:J263" si="50">IFERROR(E255-C255,"-")</f>
        <v>-</v>
      </c>
      <c r="G255" s="220">
        <v>3.5</v>
      </c>
      <c r="H255" s="221">
        <f t="shared" si="50"/>
        <v>-2.5</v>
      </c>
      <c r="I255" s="220">
        <v>5</v>
      </c>
      <c r="J255" s="221">
        <f t="shared" si="50"/>
        <v>1.5</v>
      </c>
      <c r="K255" s="220" t="s">
        <v>233</v>
      </c>
      <c r="L255" s="221" t="str">
        <f t="shared" ref="L255:L263" si="51">IFERROR(K255-I255,"-")</f>
        <v>-</v>
      </c>
      <c r="M255" s="220">
        <v>6</v>
      </c>
      <c r="N255" s="221" t="str">
        <f t="shared" si="49"/>
        <v>-</v>
      </c>
    </row>
    <row r="256" spans="2:15" x14ac:dyDescent="0.25">
      <c r="B256" s="145" t="s">
        <v>83</v>
      </c>
      <c r="C256" s="220" t="s">
        <v>233</v>
      </c>
      <c r="D256" s="221" t="s">
        <v>233</v>
      </c>
      <c r="E256" s="220" t="s">
        <v>233</v>
      </c>
      <c r="F256" s="221" t="str">
        <f t="shared" si="50"/>
        <v>-</v>
      </c>
      <c r="G256" s="220">
        <v>1</v>
      </c>
      <c r="H256" s="221" t="str">
        <f t="shared" si="50"/>
        <v>-</v>
      </c>
      <c r="I256" s="220">
        <v>1</v>
      </c>
      <c r="J256" s="221">
        <f t="shared" si="50"/>
        <v>0</v>
      </c>
      <c r="K256" s="220">
        <v>3.7446808510638299</v>
      </c>
      <c r="L256" s="221">
        <f t="shared" si="51"/>
        <v>2.7446808510638299</v>
      </c>
      <c r="M256" s="220">
        <v>2</v>
      </c>
      <c r="N256" s="221">
        <f t="shared" si="49"/>
        <v>-1.7446808510638299</v>
      </c>
    </row>
    <row r="257" spans="2:15" x14ac:dyDescent="0.25">
      <c r="B257" s="145" t="s">
        <v>85</v>
      </c>
      <c r="C257" s="220" t="s">
        <v>233</v>
      </c>
      <c r="D257" s="221" t="s">
        <v>233</v>
      </c>
      <c r="E257" s="220">
        <v>1</v>
      </c>
      <c r="F257" s="221" t="str">
        <f t="shared" si="50"/>
        <v>-</v>
      </c>
      <c r="G257" s="220">
        <v>2.125</v>
      </c>
      <c r="H257" s="221">
        <f t="shared" si="50"/>
        <v>1.125</v>
      </c>
      <c r="I257" s="220">
        <v>3.8888888888888888</v>
      </c>
      <c r="J257" s="221">
        <f t="shared" si="50"/>
        <v>1.7638888888888888</v>
      </c>
      <c r="K257" s="220">
        <v>4.5</v>
      </c>
      <c r="L257" s="221">
        <f t="shared" si="51"/>
        <v>0.61111111111111116</v>
      </c>
      <c r="M257" s="220">
        <v>1.8</v>
      </c>
      <c r="N257" s="221">
        <f t="shared" si="49"/>
        <v>-2.7</v>
      </c>
    </row>
    <row r="258" spans="2:15" x14ac:dyDescent="0.25">
      <c r="B258" s="145" t="s">
        <v>87</v>
      </c>
      <c r="C258" s="220">
        <v>1</v>
      </c>
      <c r="D258" s="221">
        <v>0</v>
      </c>
      <c r="E258" s="220" t="s">
        <v>233</v>
      </c>
      <c r="F258" s="221" t="str">
        <f t="shared" si="50"/>
        <v>-</v>
      </c>
      <c r="G258" s="220">
        <v>2.3333333333333335</v>
      </c>
      <c r="H258" s="221" t="str">
        <f t="shared" si="50"/>
        <v>-</v>
      </c>
      <c r="I258" s="220">
        <v>1</v>
      </c>
      <c r="J258" s="221">
        <f t="shared" si="50"/>
        <v>-1.3333333333333335</v>
      </c>
      <c r="K258" s="220">
        <v>1</v>
      </c>
      <c r="L258" s="221">
        <f t="shared" si="51"/>
        <v>0</v>
      </c>
      <c r="M258" s="220">
        <v>1</v>
      </c>
      <c r="N258" s="221">
        <f t="shared" si="49"/>
        <v>0</v>
      </c>
    </row>
    <row r="259" spans="2:15" x14ac:dyDescent="0.25">
      <c r="B259" s="145" t="s">
        <v>89</v>
      </c>
      <c r="C259" s="220">
        <v>2</v>
      </c>
      <c r="D259" s="221">
        <v>1</v>
      </c>
      <c r="E259" s="220">
        <v>1</v>
      </c>
      <c r="F259" s="221">
        <f t="shared" si="50"/>
        <v>-1</v>
      </c>
      <c r="G259" s="220">
        <v>5.4</v>
      </c>
      <c r="H259" s="221">
        <f t="shared" si="50"/>
        <v>4.4000000000000004</v>
      </c>
      <c r="I259" s="220">
        <v>3.5</v>
      </c>
      <c r="J259" s="221">
        <f t="shared" si="50"/>
        <v>-1.9000000000000004</v>
      </c>
      <c r="K259" s="220">
        <v>2.7692307692307692</v>
      </c>
      <c r="L259" s="221">
        <f t="shared" si="51"/>
        <v>-0.73076923076923084</v>
      </c>
      <c r="M259" s="220">
        <v>4</v>
      </c>
      <c r="N259" s="221">
        <f t="shared" si="49"/>
        <v>1.2307692307692308</v>
      </c>
    </row>
    <row r="260" spans="2:15" x14ac:dyDescent="0.25">
      <c r="B260" s="145" t="s">
        <v>91</v>
      </c>
      <c r="C260" s="220" t="s">
        <v>233</v>
      </c>
      <c r="D260" s="221" t="s">
        <v>233</v>
      </c>
      <c r="E260" s="220">
        <v>3.225806451612903</v>
      </c>
      <c r="F260" s="221" t="str">
        <f t="shared" si="50"/>
        <v>-</v>
      </c>
      <c r="G260" s="220">
        <v>3.2857142857142856</v>
      </c>
      <c r="H260" s="221">
        <f t="shared" si="50"/>
        <v>5.9907834101382562E-2</v>
      </c>
      <c r="I260" s="220">
        <v>1</v>
      </c>
      <c r="J260" s="221">
        <f t="shared" si="50"/>
        <v>-2.2857142857142856</v>
      </c>
      <c r="K260" s="220">
        <v>2.4</v>
      </c>
      <c r="L260" s="221">
        <f t="shared" si="51"/>
        <v>1.4</v>
      </c>
      <c r="M260" s="220">
        <v>5.5</v>
      </c>
      <c r="N260" s="221">
        <f t="shared" si="49"/>
        <v>3.1</v>
      </c>
    </row>
    <row r="261" spans="2:15" x14ac:dyDescent="0.25">
      <c r="B261" s="145" t="s">
        <v>93</v>
      </c>
      <c r="C261" s="220">
        <v>4.5</v>
      </c>
      <c r="D261" s="221">
        <v>2.0625</v>
      </c>
      <c r="E261" s="220">
        <v>2.5909090909090908</v>
      </c>
      <c r="F261" s="221">
        <f t="shared" si="50"/>
        <v>-1.9090909090909092</v>
      </c>
      <c r="G261" s="220">
        <v>3.3333333333333335</v>
      </c>
      <c r="H261" s="221">
        <f t="shared" si="50"/>
        <v>0.74242424242424265</v>
      </c>
      <c r="I261" s="220">
        <v>3.4166666666666665</v>
      </c>
      <c r="J261" s="221">
        <f t="shared" si="50"/>
        <v>8.3333333333333037E-2</v>
      </c>
      <c r="K261" s="220">
        <v>3.0526315789473686</v>
      </c>
      <c r="L261" s="221">
        <f t="shared" si="51"/>
        <v>-0.36403508771929793</v>
      </c>
      <c r="M261" s="220"/>
      <c r="N261" s="221"/>
    </row>
    <row r="262" spans="2:15" x14ac:dyDescent="0.25">
      <c r="B262" s="145" t="s">
        <v>95</v>
      </c>
      <c r="C262" s="220">
        <v>1</v>
      </c>
      <c r="D262" s="221">
        <v>-2.7</v>
      </c>
      <c r="E262" s="220">
        <v>2.40625</v>
      </c>
      <c r="F262" s="221">
        <f t="shared" si="50"/>
        <v>1.40625</v>
      </c>
      <c r="G262" s="220">
        <v>4.5909090909090908</v>
      </c>
      <c r="H262" s="221">
        <f t="shared" si="50"/>
        <v>2.1846590909090908</v>
      </c>
      <c r="I262" s="220">
        <v>2</v>
      </c>
      <c r="J262" s="221">
        <f t="shared" si="50"/>
        <v>-2.5909090909090908</v>
      </c>
      <c r="K262" s="220">
        <v>2.5</v>
      </c>
      <c r="L262" s="221">
        <f t="shared" si="51"/>
        <v>0.5</v>
      </c>
      <c r="M262" s="220"/>
      <c r="N262" s="221"/>
    </row>
    <row r="263" spans="2:15" ht="15.75" x14ac:dyDescent="0.25">
      <c r="B263" s="148" t="s">
        <v>32</v>
      </c>
      <c r="C263" s="222">
        <v>4.830645161290323</v>
      </c>
      <c r="D263" s="223">
        <v>1.9661290322580647</v>
      </c>
      <c r="E263" s="222">
        <v>2.6190476190476191</v>
      </c>
      <c r="F263" s="223">
        <f t="shared" si="50"/>
        <v>-2.2115975422427039</v>
      </c>
      <c r="G263" s="222">
        <v>3.0259259259259261</v>
      </c>
      <c r="H263" s="223">
        <f t="shared" si="50"/>
        <v>0.40687830687830706</v>
      </c>
      <c r="I263" s="222">
        <v>2.7450980392156863</v>
      </c>
      <c r="J263" s="223">
        <f t="shared" si="50"/>
        <v>-0.28082788671023984</v>
      </c>
      <c r="K263" s="222">
        <v>3.4</v>
      </c>
      <c r="L263" s="223">
        <f t="shared" si="51"/>
        <v>0.65490196078431362</v>
      </c>
      <c r="M263" s="222">
        <v>2.4037267080745344</v>
      </c>
      <c r="N263" s="223">
        <v>-1.0856349940531254</v>
      </c>
    </row>
    <row r="264" spans="2:15" ht="6" customHeight="1" x14ac:dyDescent="0.25"/>
    <row r="265" spans="2:15" x14ac:dyDescent="0.25">
      <c r="B265" s="131" t="s">
        <v>57</v>
      </c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</row>
    <row r="266" spans="2:15" x14ac:dyDescent="0.25">
      <c r="K266" s="151"/>
    </row>
    <row r="268" spans="2:15" ht="48.75" customHeight="1" thickBot="1" x14ac:dyDescent="0.3">
      <c r="B268" s="12" t="s">
        <v>303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" t="s">
        <v>131</v>
      </c>
    </row>
    <row r="269" spans="2:15" ht="10.5" customHeight="1" thickBot="1" x14ac:dyDescent="0.3">
      <c r="B269" s="132"/>
      <c r="C269" s="133"/>
      <c r="D269" s="132"/>
      <c r="E269" s="132"/>
      <c r="F269" s="132"/>
      <c r="G269" s="132"/>
      <c r="H269" s="132"/>
      <c r="I269" s="132"/>
      <c r="J269" s="132"/>
      <c r="K269" s="132"/>
      <c r="L269" s="132"/>
      <c r="M269" s="4"/>
      <c r="N269" s="4"/>
      <c r="O269" s="1" t="s">
        <v>132</v>
      </c>
    </row>
    <row r="270" spans="2:15" ht="22.5" thickTop="1" thickBot="1" x14ac:dyDescent="0.3">
      <c r="B270" s="152" t="str">
        <f>C270</f>
        <v>Suecia</v>
      </c>
      <c r="C270" s="135" t="s">
        <v>133</v>
      </c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</row>
    <row r="271" spans="2:15" ht="22.5" thickTop="1" thickBot="1" x14ac:dyDescent="0.3">
      <c r="B271" s="137"/>
      <c r="C271" s="138">
        <v>2020</v>
      </c>
      <c r="D271" s="139"/>
      <c r="E271" s="140">
        <v>2021</v>
      </c>
      <c r="F271" s="139"/>
      <c r="G271" s="140">
        <v>2022</v>
      </c>
      <c r="H271" s="139"/>
      <c r="I271" s="140">
        <v>2023</v>
      </c>
      <c r="J271" s="139"/>
      <c r="K271" s="140">
        <v>2024</v>
      </c>
      <c r="L271" s="139"/>
      <c r="M271" s="140">
        <v>2025</v>
      </c>
      <c r="N271" s="141"/>
    </row>
    <row r="272" spans="2:15" ht="16.5" thickTop="1" thickBot="1" x14ac:dyDescent="0.3">
      <c r="B272" s="109"/>
      <c r="C272" s="142" t="s">
        <v>71</v>
      </c>
      <c r="D272" s="143" t="str">
        <f>CONCATENATE("dif ",RIGHT(C271,2),"/",RIGHT(C271-1,2))</f>
        <v>dif 20/19</v>
      </c>
      <c r="E272" s="144" t="s">
        <v>71</v>
      </c>
      <c r="F272" s="143" t="str">
        <f>CONCATENATE("dif ",RIGHT(E271,2),"/",RIGHT(C271,2))</f>
        <v>dif 21/20</v>
      </c>
      <c r="G272" s="144" t="s">
        <v>71</v>
      </c>
      <c r="H272" s="143" t="str">
        <f>CONCATENATE("dif ",RIGHT(G271,2),"/",RIGHT(E271,2))</f>
        <v>dif 22/21</v>
      </c>
      <c r="I272" s="144" t="s">
        <v>71</v>
      </c>
      <c r="J272" s="143" t="str">
        <f>CONCATENATE("dif ",RIGHT(I271,2),"/",RIGHT(G271,2))</f>
        <v>dif 23/22</v>
      </c>
      <c r="K272" s="144" t="s">
        <v>71</v>
      </c>
      <c r="L272" s="143" t="str">
        <f>CONCATENATE("dif ",RIGHT(K271,2),"/",RIGHT(I271,2))</f>
        <v>dif 24/23</v>
      </c>
      <c r="M272" s="144" t="s">
        <v>71</v>
      </c>
      <c r="N272" s="143" t="str">
        <f>CONCATENATE("dif ",RIGHT(M271,2),"/",RIGHT(K271,2))</f>
        <v>dif 25/24</v>
      </c>
    </row>
    <row r="273" spans="2:14" x14ac:dyDescent="0.25">
      <c r="B273" s="145" t="s">
        <v>73</v>
      </c>
      <c r="C273" s="220">
        <v>3.1</v>
      </c>
      <c r="D273" s="221">
        <v>-0.39999999999999991</v>
      </c>
      <c r="E273" s="220">
        <v>3.2857142857142856</v>
      </c>
      <c r="F273" s="221">
        <f t="shared" ref="F273:J275" si="52">IFERROR(E273-C273,"-")</f>
        <v>0.1857142857142855</v>
      </c>
      <c r="G273" s="220">
        <v>2.8918918918918921</v>
      </c>
      <c r="H273" s="221">
        <f t="shared" si="52"/>
        <v>-0.39382239382239348</v>
      </c>
      <c r="I273" s="220">
        <v>3.6875</v>
      </c>
      <c r="J273" s="221">
        <f t="shared" si="52"/>
        <v>0.79560810810810789</v>
      </c>
      <c r="K273" s="220">
        <v>2.7826086956521738</v>
      </c>
      <c r="L273" s="221">
        <f t="shared" ref="L273:L275" si="53">IFERROR(K273-I273,"-")</f>
        <v>-0.90489130434782616</v>
      </c>
      <c r="M273" s="220">
        <v>2.4457831325301207</v>
      </c>
      <c r="N273" s="221">
        <f t="shared" ref="N273:N282" si="54">IFERROR(M273-K273,"-")</f>
        <v>-0.33682556312205314</v>
      </c>
    </row>
    <row r="274" spans="2:14" x14ac:dyDescent="0.25">
      <c r="B274" s="145" t="s">
        <v>75</v>
      </c>
      <c r="C274" s="220">
        <v>3.7692307692307692</v>
      </c>
      <c r="D274" s="221">
        <v>-0.17016317016317029</v>
      </c>
      <c r="E274" s="220">
        <v>7</v>
      </c>
      <c r="F274" s="221">
        <f t="shared" si="52"/>
        <v>3.2307692307692308</v>
      </c>
      <c r="G274" s="220">
        <v>4.4000000000000004</v>
      </c>
      <c r="H274" s="221">
        <f t="shared" si="52"/>
        <v>-2.5999999999999996</v>
      </c>
      <c r="I274" s="220">
        <v>3.6875</v>
      </c>
      <c r="J274" s="221">
        <f t="shared" si="52"/>
        <v>-0.71250000000000036</v>
      </c>
      <c r="K274" s="220">
        <v>4.2</v>
      </c>
      <c r="L274" s="221">
        <f t="shared" si="53"/>
        <v>0.51250000000000018</v>
      </c>
      <c r="M274" s="220">
        <v>1.9090909090909092</v>
      </c>
      <c r="N274" s="221">
        <f t="shared" si="54"/>
        <v>-2.290909090909091</v>
      </c>
    </row>
    <row r="275" spans="2:14" x14ac:dyDescent="0.25">
      <c r="B275" s="145" t="s">
        <v>77</v>
      </c>
      <c r="C275" s="220">
        <v>3.8</v>
      </c>
      <c r="D275" s="221">
        <v>1.1947368421052631</v>
      </c>
      <c r="E275" s="220">
        <v>4.125</v>
      </c>
      <c r="F275" s="221">
        <f t="shared" si="52"/>
        <v>0.32500000000000018</v>
      </c>
      <c r="G275" s="220">
        <v>1.0454545454545454</v>
      </c>
      <c r="H275" s="221">
        <f t="shared" si="52"/>
        <v>-3.0795454545454546</v>
      </c>
      <c r="I275" s="220">
        <v>2.763157894736842</v>
      </c>
      <c r="J275" s="221">
        <f t="shared" si="52"/>
        <v>1.7177033492822966</v>
      </c>
      <c r="K275" s="220">
        <v>3.2857142857142856</v>
      </c>
      <c r="L275" s="221">
        <f t="shared" si="53"/>
        <v>0.52255639097744355</v>
      </c>
      <c r="M275" s="220">
        <v>3.5862068965517242</v>
      </c>
      <c r="N275" s="221">
        <f t="shared" si="54"/>
        <v>0.30049261083743861</v>
      </c>
    </row>
    <row r="276" spans="2:14" x14ac:dyDescent="0.25">
      <c r="B276" s="145" t="s">
        <v>79</v>
      </c>
      <c r="C276" s="220" t="s">
        <v>233</v>
      </c>
      <c r="D276" s="221" t="s">
        <v>233</v>
      </c>
      <c r="E276" s="220">
        <v>2</v>
      </c>
      <c r="F276" s="221" t="str">
        <f>IFERROR(E276-C276,"-")</f>
        <v>-</v>
      </c>
      <c r="G276" s="220">
        <v>2</v>
      </c>
      <c r="H276" s="221">
        <f>IFERROR(G276-E276,"-")</f>
        <v>0</v>
      </c>
      <c r="I276" s="220">
        <v>3</v>
      </c>
      <c r="J276" s="221">
        <f>IFERROR(I276-G276,"-")</f>
        <v>1</v>
      </c>
      <c r="K276" s="220">
        <v>3.2</v>
      </c>
      <c r="L276" s="221">
        <f>IFERROR(K276-I276,"-")</f>
        <v>0.20000000000000018</v>
      </c>
      <c r="M276" s="220">
        <v>3.8333333333333335</v>
      </c>
      <c r="N276" s="221">
        <f t="shared" si="54"/>
        <v>0.6333333333333333</v>
      </c>
    </row>
    <row r="277" spans="2:14" x14ac:dyDescent="0.25">
      <c r="B277" s="145" t="s">
        <v>81</v>
      </c>
      <c r="C277" s="220" t="s">
        <v>233</v>
      </c>
      <c r="D277" s="221" t="s">
        <v>233</v>
      </c>
      <c r="E277" s="220">
        <v>1.25</v>
      </c>
      <c r="F277" s="221" t="str">
        <f t="shared" ref="F277:J285" si="55">IFERROR(E277-C277,"-")</f>
        <v>-</v>
      </c>
      <c r="G277" s="220">
        <v>1.6666666666666667</v>
      </c>
      <c r="H277" s="221">
        <f t="shared" si="55"/>
        <v>0.41666666666666674</v>
      </c>
      <c r="I277" s="220">
        <v>10.5</v>
      </c>
      <c r="J277" s="221">
        <f t="shared" si="55"/>
        <v>8.8333333333333339</v>
      </c>
      <c r="K277" s="220">
        <v>1.5</v>
      </c>
      <c r="L277" s="221">
        <f t="shared" ref="L277:L285" si="56">IFERROR(K277-I277,"-")</f>
        <v>-9</v>
      </c>
      <c r="M277" s="220">
        <v>5.2</v>
      </c>
      <c r="N277" s="221">
        <f t="shared" si="54"/>
        <v>3.7</v>
      </c>
    </row>
    <row r="278" spans="2:14" x14ac:dyDescent="0.25">
      <c r="B278" s="145" t="s">
        <v>83</v>
      </c>
      <c r="C278" s="220" t="s">
        <v>233</v>
      </c>
      <c r="D278" s="221" t="s">
        <v>233</v>
      </c>
      <c r="E278" s="220">
        <v>2</v>
      </c>
      <c r="F278" s="221" t="str">
        <f t="shared" si="55"/>
        <v>-</v>
      </c>
      <c r="G278" s="220">
        <v>1.3181818181818181</v>
      </c>
      <c r="H278" s="221">
        <f t="shared" si="55"/>
        <v>-0.68181818181818188</v>
      </c>
      <c r="I278" s="220">
        <v>5.333333333333333</v>
      </c>
      <c r="J278" s="221">
        <f t="shared" si="55"/>
        <v>4.0151515151515147</v>
      </c>
      <c r="K278" s="220" t="s">
        <v>233</v>
      </c>
      <c r="L278" s="221" t="str">
        <f t="shared" si="56"/>
        <v>-</v>
      </c>
      <c r="M278" s="220">
        <v>7.5</v>
      </c>
      <c r="N278" s="221" t="str">
        <f t="shared" si="54"/>
        <v>-</v>
      </c>
    </row>
    <row r="279" spans="2:14" x14ac:dyDescent="0.25">
      <c r="B279" s="145" t="s">
        <v>85</v>
      </c>
      <c r="C279" s="220" t="s">
        <v>233</v>
      </c>
      <c r="D279" s="221" t="s">
        <v>233</v>
      </c>
      <c r="E279" s="220">
        <v>3.5</v>
      </c>
      <c r="F279" s="221" t="str">
        <f t="shared" si="55"/>
        <v>-</v>
      </c>
      <c r="G279" s="220">
        <v>2.5</v>
      </c>
      <c r="H279" s="221">
        <f t="shared" si="55"/>
        <v>-1</v>
      </c>
      <c r="I279" s="220">
        <v>3.2222222222222223</v>
      </c>
      <c r="J279" s="221">
        <f t="shared" si="55"/>
        <v>0.72222222222222232</v>
      </c>
      <c r="K279" s="220">
        <v>1</v>
      </c>
      <c r="L279" s="221">
        <f t="shared" si="56"/>
        <v>-2.2222222222222223</v>
      </c>
      <c r="M279" s="220">
        <v>3.3333333333333335</v>
      </c>
      <c r="N279" s="221">
        <f t="shared" si="54"/>
        <v>2.3333333333333335</v>
      </c>
    </row>
    <row r="280" spans="2:14" x14ac:dyDescent="0.25">
      <c r="B280" s="145" t="s">
        <v>87</v>
      </c>
      <c r="C280" s="220">
        <v>1</v>
      </c>
      <c r="D280" s="221">
        <v>-2.8571428571428572</v>
      </c>
      <c r="E280" s="220">
        <v>3.3333333333333335</v>
      </c>
      <c r="F280" s="221">
        <f t="shared" si="55"/>
        <v>2.3333333333333335</v>
      </c>
      <c r="G280" s="220">
        <v>2.4</v>
      </c>
      <c r="H280" s="221">
        <f t="shared" si="55"/>
        <v>-0.93333333333333357</v>
      </c>
      <c r="I280" s="220">
        <v>2.4285714285714284</v>
      </c>
      <c r="J280" s="221">
        <f t="shared" si="55"/>
        <v>2.857142857142847E-2</v>
      </c>
      <c r="K280" s="220">
        <v>4.5999999999999996</v>
      </c>
      <c r="L280" s="221">
        <f t="shared" si="56"/>
        <v>2.1714285714285713</v>
      </c>
      <c r="M280" s="220">
        <v>1.5</v>
      </c>
      <c r="N280" s="221">
        <f t="shared" si="54"/>
        <v>-3.0999999999999996</v>
      </c>
    </row>
    <row r="281" spans="2:14" x14ac:dyDescent="0.25">
      <c r="B281" s="145" t="s">
        <v>89</v>
      </c>
      <c r="C281" s="220">
        <v>3</v>
      </c>
      <c r="D281" s="221" t="s">
        <v>233</v>
      </c>
      <c r="E281" s="220">
        <v>1.7</v>
      </c>
      <c r="F281" s="221">
        <f t="shared" si="55"/>
        <v>-1.3</v>
      </c>
      <c r="G281" s="220">
        <v>1.3333333333333333</v>
      </c>
      <c r="H281" s="221">
        <f t="shared" si="55"/>
        <v>-0.3666666666666667</v>
      </c>
      <c r="I281" s="220">
        <v>3.3333333333333335</v>
      </c>
      <c r="J281" s="221">
        <f t="shared" si="55"/>
        <v>2</v>
      </c>
      <c r="K281" s="220">
        <v>2.4</v>
      </c>
      <c r="L281" s="221">
        <f t="shared" si="56"/>
        <v>-0.93333333333333357</v>
      </c>
      <c r="M281" s="220">
        <v>3.6666666666666665</v>
      </c>
      <c r="N281" s="221">
        <f t="shared" si="54"/>
        <v>1.2666666666666666</v>
      </c>
    </row>
    <row r="282" spans="2:14" x14ac:dyDescent="0.25">
      <c r="B282" s="145" t="s">
        <v>91</v>
      </c>
      <c r="C282" s="220">
        <v>1.5</v>
      </c>
      <c r="D282" s="221">
        <v>-0.68181818181818166</v>
      </c>
      <c r="E282" s="220">
        <v>1.75</v>
      </c>
      <c r="F282" s="221">
        <f t="shared" si="55"/>
        <v>0.25</v>
      </c>
      <c r="G282" s="220">
        <v>1.8181818181818181</v>
      </c>
      <c r="H282" s="221">
        <f t="shared" si="55"/>
        <v>6.8181818181818121E-2</v>
      </c>
      <c r="I282" s="220">
        <v>1.625</v>
      </c>
      <c r="J282" s="221">
        <f t="shared" si="55"/>
        <v>-0.19318181818181812</v>
      </c>
      <c r="K282" s="220">
        <v>4.6923076923076925</v>
      </c>
      <c r="L282" s="221">
        <f t="shared" si="56"/>
        <v>3.0673076923076925</v>
      </c>
      <c r="M282" s="220">
        <v>3.8333333333333335</v>
      </c>
      <c r="N282" s="221">
        <f t="shared" si="54"/>
        <v>-0.85897435897435903</v>
      </c>
    </row>
    <row r="283" spans="2:14" x14ac:dyDescent="0.25">
      <c r="B283" s="145" t="s">
        <v>93</v>
      </c>
      <c r="C283" s="220">
        <v>1.6666666666666667</v>
      </c>
      <c r="D283" s="221">
        <v>-0.88172043010752676</v>
      </c>
      <c r="E283" s="220">
        <v>3.4615384615384617</v>
      </c>
      <c r="F283" s="221">
        <f t="shared" si="55"/>
        <v>1.7948717948717949</v>
      </c>
      <c r="G283" s="220">
        <v>3</v>
      </c>
      <c r="H283" s="221">
        <f t="shared" si="55"/>
        <v>-0.46153846153846168</v>
      </c>
      <c r="I283" s="220">
        <v>3.03125</v>
      </c>
      <c r="J283" s="221">
        <f t="shared" si="55"/>
        <v>3.125E-2</v>
      </c>
      <c r="K283" s="220">
        <v>2.6764705882352939</v>
      </c>
      <c r="L283" s="221">
        <f t="shared" si="56"/>
        <v>-0.35477941176470607</v>
      </c>
      <c r="M283" s="220"/>
      <c r="N283" s="221"/>
    </row>
    <row r="284" spans="2:14" x14ac:dyDescent="0.25">
      <c r="B284" s="145" t="s">
        <v>95</v>
      </c>
      <c r="C284" s="220">
        <v>2</v>
      </c>
      <c r="D284" s="221">
        <v>-0.68292682926829285</v>
      </c>
      <c r="E284" s="220">
        <v>2.625</v>
      </c>
      <c r="F284" s="221">
        <f t="shared" si="55"/>
        <v>0.625</v>
      </c>
      <c r="G284" s="220">
        <v>2.6857142857142855</v>
      </c>
      <c r="H284" s="221">
        <f t="shared" si="55"/>
        <v>6.0714285714285499E-2</v>
      </c>
      <c r="I284" s="220">
        <v>4.59375</v>
      </c>
      <c r="J284" s="221">
        <f t="shared" si="55"/>
        <v>1.9080357142857145</v>
      </c>
      <c r="K284" s="220">
        <v>3.8095238095238093</v>
      </c>
      <c r="L284" s="221">
        <f t="shared" si="56"/>
        <v>-0.78422619047619069</v>
      </c>
      <c r="M284" s="220"/>
      <c r="N284" s="221"/>
    </row>
    <row r="285" spans="2:14" ht="15.75" x14ac:dyDescent="0.25">
      <c r="B285" s="148" t="s">
        <v>32</v>
      </c>
      <c r="C285" s="222">
        <v>2.9101123595505616</v>
      </c>
      <c r="D285" s="223">
        <v>0.33077656619262807</v>
      </c>
      <c r="E285" s="222">
        <v>2.6979166666666665</v>
      </c>
      <c r="F285" s="223">
        <f t="shared" si="55"/>
        <v>-0.21219569288389506</v>
      </c>
      <c r="G285" s="222">
        <v>2.2916666666666665</v>
      </c>
      <c r="H285" s="223">
        <f t="shared" si="55"/>
        <v>-0.40625</v>
      </c>
      <c r="I285" s="222">
        <v>3.5185185185185186</v>
      </c>
      <c r="J285" s="223">
        <f t="shared" si="55"/>
        <v>1.2268518518518521</v>
      </c>
      <c r="K285" s="222">
        <v>3.2395833333333335</v>
      </c>
      <c r="L285" s="223">
        <f t="shared" si="56"/>
        <v>-0.27893518518518512</v>
      </c>
      <c r="M285" s="222">
        <v>3.1073446327683616</v>
      </c>
      <c r="N285" s="223">
        <v>-0.11668134125761265</v>
      </c>
    </row>
    <row r="286" spans="2:14" ht="6" customHeight="1" x14ac:dyDescent="0.25"/>
    <row r="287" spans="2:14" x14ac:dyDescent="0.25">
      <c r="B287" s="131" t="s">
        <v>57</v>
      </c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</row>
    <row r="288" spans="2:14" x14ac:dyDescent="0.25">
      <c r="C288" s="151"/>
      <c r="K288" s="151"/>
      <c r="N288" s="103"/>
    </row>
    <row r="290" spans="3:13" x14ac:dyDescent="0.25">
      <c r="C290" s="103"/>
      <c r="E290" s="103"/>
      <c r="G290" s="103"/>
      <c r="I290" s="103"/>
      <c r="K290" s="103"/>
      <c r="M290" s="103"/>
    </row>
  </sheetData>
  <mergeCells count="104"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4770D-EE96-4F6D-BB9C-0B7D6B52F2ED}">
  <sheetPr>
    <tabColor theme="4" tint="0.79998168889431442"/>
  </sheetPr>
  <dimension ref="A4:O111"/>
  <sheetViews>
    <sheetView showGridLines="0" zoomScaleNormal="100" workbookViewId="0">
      <selection activeCell="D5" sqref="D5"/>
    </sheetView>
  </sheetViews>
  <sheetFormatPr baseColWidth="10" defaultColWidth="11.42578125" defaultRowHeight="15" x14ac:dyDescent="0.25"/>
  <cols>
    <col min="1" max="1" width="15.28515625" customWidth="1"/>
    <col min="3" max="13" width="11.42578125" style="227"/>
    <col min="14" max="14" width="13.5703125" style="227" bestFit="1" customWidth="1"/>
  </cols>
  <sheetData>
    <row r="4" spans="1:15" ht="48.75" customHeight="1" thickBot="1" x14ac:dyDescent="0.3">
      <c r="B4" s="12" t="s">
        <v>292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48"/>
      <c r="N5" s="48"/>
      <c r="O5" s="1" t="s">
        <v>69</v>
      </c>
    </row>
    <row r="6" spans="1:15" ht="22.5" thickTop="1" thickBot="1" x14ac:dyDescent="0.3">
      <c r="B6" s="134" t="s">
        <v>32</v>
      </c>
      <c r="C6" s="225" t="s">
        <v>134</v>
      </c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</row>
    <row r="7" spans="1:15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CONCATENATE("dif ",RIGHT(C7,2),"/",RIGHT(C7-1,2))</f>
        <v>dif 20/19</v>
      </c>
      <c r="E8" s="144" t="s">
        <v>71</v>
      </c>
      <c r="F8" s="143" t="str">
        <f>CONCATENATE("dif ",RIGHT(E7,2),"/",RIGHT(C7,2))</f>
        <v>dif 21/20</v>
      </c>
      <c r="G8" s="144" t="s">
        <v>71</v>
      </c>
      <c r="H8" s="143" t="str">
        <f>CONCATENATE("dif ",RIGHT(G7,2),"/",RIGHT(E7,2))</f>
        <v>dif 22/21</v>
      </c>
      <c r="I8" s="144" t="s">
        <v>71</v>
      </c>
      <c r="J8" s="143" t="str">
        <f>CONCATENATE("dif ",RIGHT(I7,2),"/",RIGHT(G7,2))</f>
        <v>dif 23/22</v>
      </c>
      <c r="K8" s="144" t="s">
        <v>71</v>
      </c>
      <c r="L8" s="143" t="str">
        <f>CONCATENATE("dif ",RIGHT(K7,2),"/",RIGHT(I7,2))</f>
        <v>dif 24/23</v>
      </c>
      <c r="M8" s="144" t="s">
        <v>71</v>
      </c>
      <c r="N8" s="143" t="str">
        <f>CONCATENATE("def ",RIGHT(M7,2),"/",RIGHT(K7,2))</f>
        <v>def 25/24</v>
      </c>
    </row>
    <row r="9" spans="1:15" x14ac:dyDescent="0.25">
      <c r="A9" s="1" t="s">
        <v>72</v>
      </c>
      <c r="B9" s="145" t="s">
        <v>73</v>
      </c>
      <c r="C9" s="220">
        <v>2.6174716182412929</v>
      </c>
      <c r="D9" s="221">
        <v>-1.8024564964814083E-2</v>
      </c>
      <c r="E9" s="220">
        <v>2.4109947643979059</v>
      </c>
      <c r="F9" s="221">
        <f t="shared" ref="F9:J21" si="0">IFERROR(E9-C9,"-")</f>
        <v>-0.20647685384338699</v>
      </c>
      <c r="G9" s="220">
        <v>3.2322086759285513</v>
      </c>
      <c r="H9" s="221">
        <f t="shared" si="0"/>
        <v>0.82121391153064538</v>
      </c>
      <c r="I9" s="220">
        <v>2.6628942486085343</v>
      </c>
      <c r="J9" s="221">
        <f t="shared" si="0"/>
        <v>-0.56931442732001702</v>
      </c>
      <c r="K9" s="220">
        <v>2.7949012842629863</v>
      </c>
      <c r="L9" s="221">
        <f t="shared" ref="L9:L21" si="1">IFERROR(K9-I9,"-")</f>
        <v>0.13200703565445204</v>
      </c>
      <c r="M9" s="220">
        <v>2.6840519676143852</v>
      </c>
      <c r="N9" s="221">
        <f t="shared" ref="N9:N18" si="2">IFERROR(M9-K9,"-")</f>
        <v>-0.11084931664860109</v>
      </c>
    </row>
    <row r="10" spans="1:15" x14ac:dyDescent="0.25">
      <c r="A10" s="1" t="s">
        <v>74</v>
      </c>
      <c r="B10" s="145" t="s">
        <v>75</v>
      </c>
      <c r="C10" s="220">
        <v>2.6762455682030231</v>
      </c>
      <c r="D10" s="221">
        <v>-4.9792932303562409E-2</v>
      </c>
      <c r="E10" s="220">
        <v>2.2361010830324908</v>
      </c>
      <c r="F10" s="221">
        <f t="shared" si="0"/>
        <v>-0.44014448517053228</v>
      </c>
      <c r="G10" s="220">
        <v>2.7251615992338998</v>
      </c>
      <c r="H10" s="221">
        <f t="shared" si="0"/>
        <v>0.489060516201409</v>
      </c>
      <c r="I10" s="220">
        <v>2.7041745730550284</v>
      </c>
      <c r="J10" s="221">
        <f t="shared" si="0"/>
        <v>-2.0987026178871382E-2</v>
      </c>
      <c r="K10" s="220">
        <v>3.1517801374141161</v>
      </c>
      <c r="L10" s="221">
        <f t="shared" si="1"/>
        <v>0.44760556435908772</v>
      </c>
      <c r="M10" s="220">
        <v>3.1261325703385787</v>
      </c>
      <c r="N10" s="221">
        <f t="shared" si="2"/>
        <v>-2.5647567075537392E-2</v>
      </c>
    </row>
    <row r="11" spans="1:15" x14ac:dyDescent="0.25">
      <c r="A11" s="1" t="s">
        <v>76</v>
      </c>
      <c r="B11" s="145" t="s">
        <v>77</v>
      </c>
      <c r="C11" s="220">
        <v>2.599636032757052</v>
      </c>
      <c r="D11" s="221">
        <v>-0.10626917314815376</v>
      </c>
      <c r="E11" s="220">
        <v>2.167395104895105</v>
      </c>
      <c r="F11" s="221">
        <f t="shared" si="0"/>
        <v>-0.43224092786194701</v>
      </c>
      <c r="G11" s="220">
        <v>2.6814345991561179</v>
      </c>
      <c r="H11" s="221">
        <f t="shared" si="0"/>
        <v>0.51403949426101292</v>
      </c>
      <c r="I11" s="220">
        <v>2.7572009188902631</v>
      </c>
      <c r="J11" s="221">
        <f t="shared" si="0"/>
        <v>7.576631973414516E-2</v>
      </c>
      <c r="K11" s="220">
        <v>2.9589783281733748</v>
      </c>
      <c r="L11" s="221">
        <f t="shared" si="1"/>
        <v>0.20177740928311172</v>
      </c>
      <c r="M11" s="220">
        <v>2.6383377012354923</v>
      </c>
      <c r="N11" s="221">
        <f t="shared" si="2"/>
        <v>-0.32064062693788253</v>
      </c>
    </row>
    <row r="12" spans="1:15" x14ac:dyDescent="0.25">
      <c r="A12" s="1" t="s">
        <v>78</v>
      </c>
      <c r="B12" s="145" t="s">
        <v>79</v>
      </c>
      <c r="C12" s="220" t="s">
        <v>233</v>
      </c>
      <c r="D12" s="221" t="s">
        <v>233</v>
      </c>
      <c r="E12" s="220">
        <v>2.2338797814207649</v>
      </c>
      <c r="F12" s="221" t="str">
        <f t="shared" si="0"/>
        <v>-</v>
      </c>
      <c r="G12" s="220">
        <v>2.9921472392638035</v>
      </c>
      <c r="H12" s="221">
        <f t="shared" si="0"/>
        <v>0.75826745784303862</v>
      </c>
      <c r="I12" s="220">
        <v>2.4570599613152804</v>
      </c>
      <c r="J12" s="221">
        <f t="shared" si="0"/>
        <v>-0.53508727794852318</v>
      </c>
      <c r="K12" s="220">
        <v>2.6590819153146024</v>
      </c>
      <c r="L12" s="221">
        <f t="shared" si="1"/>
        <v>0.20202195399932199</v>
      </c>
      <c r="M12" s="220">
        <v>2.7806406685236769</v>
      </c>
      <c r="N12" s="221">
        <f t="shared" si="2"/>
        <v>0.1215587532090745</v>
      </c>
    </row>
    <row r="13" spans="1:15" x14ac:dyDescent="0.25">
      <c r="A13" s="1" t="s">
        <v>80</v>
      </c>
      <c r="B13" s="145" t="s">
        <v>81</v>
      </c>
      <c r="C13" s="220" t="s">
        <v>233</v>
      </c>
      <c r="D13" s="221" t="s">
        <v>233</v>
      </c>
      <c r="E13" s="220">
        <v>2.1226024821361413</v>
      </c>
      <c r="F13" s="221" t="str">
        <f t="shared" si="0"/>
        <v>-</v>
      </c>
      <c r="G13" s="220">
        <v>2.77670704845815</v>
      </c>
      <c r="H13" s="221">
        <f t="shared" si="0"/>
        <v>0.65410456632200864</v>
      </c>
      <c r="I13" s="220">
        <v>2.5519648912826649</v>
      </c>
      <c r="J13" s="221">
        <f t="shared" si="0"/>
        <v>-0.22474215717548507</v>
      </c>
      <c r="K13" s="220">
        <v>2.5066105769230771</v>
      </c>
      <c r="L13" s="221">
        <f t="shared" si="1"/>
        <v>-4.5354314359587811E-2</v>
      </c>
      <c r="M13" s="220">
        <v>2.6832733093237295</v>
      </c>
      <c r="N13" s="221">
        <f t="shared" si="2"/>
        <v>0.17666273240065244</v>
      </c>
    </row>
    <row r="14" spans="1:15" x14ac:dyDescent="0.25">
      <c r="A14" s="1" t="s">
        <v>82</v>
      </c>
      <c r="B14" s="145" t="s">
        <v>83</v>
      </c>
      <c r="C14" s="220" t="s">
        <v>233</v>
      </c>
      <c r="D14" s="221" t="s">
        <v>233</v>
      </c>
      <c r="E14" s="220">
        <v>2.2000801924619084</v>
      </c>
      <c r="F14" s="221" t="str">
        <f t="shared" si="0"/>
        <v>-</v>
      </c>
      <c r="G14" s="220">
        <v>2.4949115044247789</v>
      </c>
      <c r="H14" s="221">
        <f t="shared" si="0"/>
        <v>0.29483131196287049</v>
      </c>
      <c r="I14" s="220">
        <v>2.4809854101889499</v>
      </c>
      <c r="J14" s="221">
        <f t="shared" si="0"/>
        <v>-1.3926094235829023E-2</v>
      </c>
      <c r="K14" s="220">
        <v>2.5517154389505552</v>
      </c>
      <c r="L14" s="221">
        <f t="shared" si="1"/>
        <v>7.0730028761605279E-2</v>
      </c>
      <c r="M14" s="220">
        <v>2.8302986161689732</v>
      </c>
      <c r="N14" s="221">
        <f t="shared" si="2"/>
        <v>0.27858317721841797</v>
      </c>
    </row>
    <row r="15" spans="1:15" x14ac:dyDescent="0.25">
      <c r="A15" s="1" t="s">
        <v>84</v>
      </c>
      <c r="B15" s="145" t="s">
        <v>85</v>
      </c>
      <c r="C15" s="220" t="s">
        <v>233</v>
      </c>
      <c r="D15" s="221" t="s">
        <v>233</v>
      </c>
      <c r="E15" s="220">
        <v>2.3360790774299836</v>
      </c>
      <c r="F15" s="221" t="str">
        <f t="shared" si="0"/>
        <v>-</v>
      </c>
      <c r="G15" s="220">
        <v>2.5052631578947366</v>
      </c>
      <c r="H15" s="221">
        <f t="shared" si="0"/>
        <v>0.16918408046475308</v>
      </c>
      <c r="I15" s="220">
        <v>2.2105990783410139</v>
      </c>
      <c r="J15" s="221">
        <f t="shared" si="0"/>
        <v>-0.29466407955372276</v>
      </c>
      <c r="K15" s="220">
        <v>2.2077073807968648</v>
      </c>
      <c r="L15" s="221">
        <f t="shared" si="1"/>
        <v>-2.8916975441490855E-3</v>
      </c>
      <c r="M15" s="220">
        <v>2.7481440747869121</v>
      </c>
      <c r="N15" s="221">
        <f t="shared" si="2"/>
        <v>0.54043669399004735</v>
      </c>
    </row>
    <row r="16" spans="1:15" x14ac:dyDescent="0.25">
      <c r="A16" s="1" t="s">
        <v>86</v>
      </c>
      <c r="B16" s="145" t="s">
        <v>87</v>
      </c>
      <c r="C16" s="220">
        <v>2.499459848757652</v>
      </c>
      <c r="D16" s="221">
        <v>0.32659695508017172</v>
      </c>
      <c r="E16" s="220">
        <v>2.9317173096620008</v>
      </c>
      <c r="F16" s="221">
        <f t="shared" si="0"/>
        <v>0.4322574609043488</v>
      </c>
      <c r="G16" s="220">
        <v>2.6119023397761953</v>
      </c>
      <c r="H16" s="221">
        <f t="shared" si="0"/>
        <v>-0.31981496988580549</v>
      </c>
      <c r="I16" s="220">
        <v>2.5556512378902045</v>
      </c>
      <c r="J16" s="221">
        <f t="shared" si="0"/>
        <v>-5.6251101885990806E-2</v>
      </c>
      <c r="K16" s="220">
        <v>3.1938599517074855</v>
      </c>
      <c r="L16" s="221">
        <f t="shared" si="1"/>
        <v>0.63820871381728095</v>
      </c>
      <c r="M16" s="220">
        <v>2.856691765848919</v>
      </c>
      <c r="N16" s="221">
        <f t="shared" si="2"/>
        <v>-0.33716818585856645</v>
      </c>
    </row>
    <row r="17" spans="1:15" x14ac:dyDescent="0.25">
      <c r="A17" s="1" t="s">
        <v>88</v>
      </c>
      <c r="B17" s="145" t="s">
        <v>89</v>
      </c>
      <c r="C17" s="220">
        <v>2.135487528344671</v>
      </c>
      <c r="D17" s="221">
        <v>4.8655716089129886E-2</v>
      </c>
      <c r="E17" s="220">
        <v>2.452733776188043</v>
      </c>
      <c r="F17" s="221">
        <f t="shared" si="0"/>
        <v>0.31724624784337196</v>
      </c>
      <c r="G17" s="220">
        <v>2.3955875928352994</v>
      </c>
      <c r="H17" s="221">
        <f t="shared" si="0"/>
        <v>-5.7146183352743574E-2</v>
      </c>
      <c r="I17" s="220">
        <v>2.3459411634594116</v>
      </c>
      <c r="J17" s="221">
        <f t="shared" si="0"/>
        <v>-4.9646429375887813E-2</v>
      </c>
      <c r="K17" s="220">
        <v>2.2301946137212503</v>
      </c>
      <c r="L17" s="221">
        <f t="shared" si="1"/>
        <v>-0.11574654973816134</v>
      </c>
      <c r="M17" s="220">
        <v>2.4850695235924323</v>
      </c>
      <c r="N17" s="221">
        <f t="shared" si="2"/>
        <v>0.254874909871182</v>
      </c>
    </row>
    <row r="18" spans="1:15" x14ac:dyDescent="0.25">
      <c r="A18" s="1" t="s">
        <v>90</v>
      </c>
      <c r="B18" s="145" t="s">
        <v>91</v>
      </c>
      <c r="C18" s="220">
        <v>2.0425170068027212</v>
      </c>
      <c r="D18" s="221">
        <v>-0.23159032695823667</v>
      </c>
      <c r="E18" s="220">
        <v>2.9937869822485208</v>
      </c>
      <c r="F18" s="221">
        <f t="shared" si="0"/>
        <v>0.95126997544579961</v>
      </c>
      <c r="G18" s="220">
        <v>2.8807453416149067</v>
      </c>
      <c r="H18" s="221">
        <f t="shared" si="0"/>
        <v>-0.1130416406336141</v>
      </c>
      <c r="I18" s="220">
        <v>2.5134645847476804</v>
      </c>
      <c r="J18" s="221">
        <f t="shared" si="0"/>
        <v>-0.36728075686722628</v>
      </c>
      <c r="K18" s="220">
        <v>2.4775360845700347</v>
      </c>
      <c r="L18" s="221">
        <f t="shared" si="1"/>
        <v>-3.5928500177645706E-2</v>
      </c>
      <c r="M18" s="220">
        <v>2.4095158597662771</v>
      </c>
      <c r="N18" s="221">
        <f t="shared" si="2"/>
        <v>-6.8020224803757579E-2</v>
      </c>
    </row>
    <row r="19" spans="1:15" x14ac:dyDescent="0.25">
      <c r="A19" s="1" t="s">
        <v>92</v>
      </c>
      <c r="B19" s="145" t="s">
        <v>93</v>
      </c>
      <c r="C19" s="220">
        <v>2.0164492342597846</v>
      </c>
      <c r="D19" s="221">
        <v>-0.33604246009237482</v>
      </c>
      <c r="E19" s="220">
        <v>2.7396582733812949</v>
      </c>
      <c r="F19" s="221">
        <f t="shared" si="0"/>
        <v>0.72320903912151024</v>
      </c>
      <c r="G19" s="220">
        <v>2.6980157089706491</v>
      </c>
      <c r="H19" s="221">
        <f t="shared" si="0"/>
        <v>-4.1642564410645733E-2</v>
      </c>
      <c r="I19" s="220">
        <v>2.6623690572119258</v>
      </c>
      <c r="J19" s="221">
        <f t="shared" si="0"/>
        <v>-3.564665175872328E-2</v>
      </c>
      <c r="K19" s="220">
        <v>2.7401171303074672</v>
      </c>
      <c r="L19" s="221">
        <f t="shared" si="1"/>
        <v>7.7748073095541326E-2</v>
      </c>
      <c r="M19" s="220"/>
      <c r="N19" s="221"/>
    </row>
    <row r="20" spans="1:15" x14ac:dyDescent="0.25">
      <c r="A20" s="1" t="s">
        <v>94</v>
      </c>
      <c r="B20" s="145" t="s">
        <v>95</v>
      </c>
      <c r="C20" s="220">
        <v>2.2569676700111483</v>
      </c>
      <c r="D20" s="221">
        <v>-7.0529686937881308E-4</v>
      </c>
      <c r="E20" s="220">
        <v>2.4653312788906008</v>
      </c>
      <c r="F20" s="221">
        <f t="shared" si="0"/>
        <v>0.20836360887945249</v>
      </c>
      <c r="G20" s="220">
        <v>2.3449477351916377</v>
      </c>
      <c r="H20" s="221">
        <f t="shared" si="0"/>
        <v>-0.12038354369896309</v>
      </c>
      <c r="I20" s="220">
        <v>2.587568157033806</v>
      </c>
      <c r="J20" s="221">
        <f t="shared" si="0"/>
        <v>0.24262042184216837</v>
      </c>
      <c r="K20" s="220">
        <v>2.5476281560826322</v>
      </c>
      <c r="L20" s="221">
        <f t="shared" si="1"/>
        <v>-3.9940000951173893E-2</v>
      </c>
      <c r="M20" s="220"/>
      <c r="N20" s="221"/>
    </row>
    <row r="21" spans="1:15" ht="15.75" x14ac:dyDescent="0.25">
      <c r="A21" s="1" t="s">
        <v>0</v>
      </c>
      <c r="B21" s="148" t="s">
        <v>32</v>
      </c>
      <c r="C21" s="222">
        <v>2.437843193922629</v>
      </c>
      <c r="D21" s="223">
        <v>2.1067972650881117E-3</v>
      </c>
      <c r="E21" s="222">
        <v>2.4937806482478173</v>
      </c>
      <c r="F21" s="223">
        <f t="shared" si="0"/>
        <v>5.5937454325188263E-2</v>
      </c>
      <c r="G21" s="222">
        <v>2.6756725259784404</v>
      </c>
      <c r="H21" s="223">
        <f t="shared" si="0"/>
        <v>0.1818918777306231</v>
      </c>
      <c r="I21" s="222">
        <v>2.5505786061867015</v>
      </c>
      <c r="J21" s="223">
        <f t="shared" si="0"/>
        <v>-0.12509391979173889</v>
      </c>
      <c r="K21" s="222">
        <v>2.6538649194953647</v>
      </c>
      <c r="L21" s="223">
        <f t="shared" si="1"/>
        <v>0.10328631330866322</v>
      </c>
      <c r="M21" s="222">
        <v>2.7066999978449671</v>
      </c>
      <c r="N21" s="223">
        <v>5.1033559606145751E-2</v>
      </c>
    </row>
    <row r="22" spans="1:15" ht="6" customHeight="1" x14ac:dyDescent="0.25"/>
    <row r="23" spans="1:15" x14ac:dyDescent="0.25">
      <c r="B23" s="131" t="s">
        <v>57</v>
      </c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</row>
    <row r="24" spans="1:15" x14ac:dyDescent="0.25">
      <c r="N24" s="229"/>
    </row>
    <row r="26" spans="1:15" ht="48.75" customHeight="1" thickBot="1" x14ac:dyDescent="0.3">
      <c r="B26" s="12" t="s">
        <v>304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48"/>
      <c r="N27" s="48"/>
      <c r="O27" s="1" t="s">
        <v>97</v>
      </c>
    </row>
    <row r="28" spans="1:15" ht="22.5" thickTop="1" thickBot="1" x14ac:dyDescent="0.3">
      <c r="B28" s="152" t="s">
        <v>98</v>
      </c>
      <c r="C28" s="225" t="s">
        <v>139</v>
      </c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</row>
    <row r="29" spans="1:15" ht="22.5" thickTop="1" thickBot="1" x14ac:dyDescent="0.3">
      <c r="B29" s="137"/>
      <c r="C29" s="138">
        <v>2020</v>
      </c>
      <c r="D29" s="139"/>
      <c r="E29" s="140">
        <v>2021</v>
      </c>
      <c r="F29" s="139"/>
      <c r="G29" s="140">
        <v>2022</v>
      </c>
      <c r="H29" s="139"/>
      <c r="I29" s="140">
        <v>2023</v>
      </c>
      <c r="J29" s="139"/>
      <c r="K29" s="140">
        <v>2024</v>
      </c>
      <c r="L29" s="139"/>
      <c r="M29" s="140">
        <f>M$7</f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CONCATENATE("dif ",RIGHT(C29,2),"/",RIGHT(C29-1,2))</f>
        <v>dif 20/19</v>
      </c>
      <c r="E30" s="144" t="s">
        <v>71</v>
      </c>
      <c r="F30" s="143" t="str">
        <f>CONCATENATE("dif ",RIGHT(E29,2),"/",RIGHT(C29,2))</f>
        <v>dif 21/20</v>
      </c>
      <c r="G30" s="144" t="s">
        <v>71</v>
      </c>
      <c r="H30" s="143" t="str">
        <f>CONCATENATE("dif ",RIGHT(G29,2),"/",RIGHT(E29,2))</f>
        <v>dif 22/21</v>
      </c>
      <c r="I30" s="144" t="s">
        <v>71</v>
      </c>
      <c r="J30" s="143" t="str">
        <f>CONCATENATE("dif ",RIGHT(I29,2),"/",RIGHT(G29,2))</f>
        <v>dif 23/22</v>
      </c>
      <c r="K30" s="144" t="s">
        <v>71</v>
      </c>
      <c r="L30" s="143" t="str">
        <f>CONCATENATE("dif ",RIGHT(K29,2),"/",RIGHT(I29,2))</f>
        <v>dif 24/23</v>
      </c>
      <c r="M30" s="144" t="s">
        <v>71</v>
      </c>
      <c r="N30" s="143" t="str">
        <f>CONCATENATE("def ",RIGHT(M29,2),"/",RIGHT(K29,2))</f>
        <v>def 25/24</v>
      </c>
    </row>
    <row r="31" spans="1:15" x14ac:dyDescent="0.25">
      <c r="B31" s="145" t="s">
        <v>73</v>
      </c>
      <c r="C31" s="220">
        <v>2.6174716182412929</v>
      </c>
      <c r="D31" s="221">
        <v>-1.8024564964814083E-2</v>
      </c>
      <c r="E31" s="220">
        <v>2.4109947643979059</v>
      </c>
      <c r="F31" s="221">
        <f t="shared" ref="F31:J43" si="3">IFERROR(E31-C31,"-")</f>
        <v>-0.20647685384338699</v>
      </c>
      <c r="G31" s="220">
        <v>3.2322086759285513</v>
      </c>
      <c r="H31" s="221">
        <f t="shared" si="3"/>
        <v>0.82121391153064538</v>
      </c>
      <c r="I31" s="220">
        <v>2.6628942486085343</v>
      </c>
      <c r="J31" s="221">
        <f t="shared" si="3"/>
        <v>-0.56931442732001702</v>
      </c>
      <c r="K31" s="220">
        <v>2.7949012842629863</v>
      </c>
      <c r="L31" s="221">
        <f t="shared" ref="L31:L43" si="4">IFERROR(K31-I31,"-")</f>
        <v>0.13200703565445204</v>
      </c>
      <c r="M31" s="220">
        <v>2.6840519676143852</v>
      </c>
      <c r="N31" s="221">
        <f>IFERROR(M31-K31,"-")</f>
        <v>-0.11084931664860109</v>
      </c>
    </row>
    <row r="32" spans="1:15" x14ac:dyDescent="0.25">
      <c r="B32" s="145" t="s">
        <v>75</v>
      </c>
      <c r="C32" s="220">
        <v>2.6762455682030231</v>
      </c>
      <c r="D32" s="221">
        <v>-4.9792932303562409E-2</v>
      </c>
      <c r="E32" s="220">
        <v>2.2361010830324908</v>
      </c>
      <c r="F32" s="221">
        <f t="shared" si="3"/>
        <v>-0.44014448517053228</v>
      </c>
      <c r="G32" s="220">
        <v>2.7251615992338998</v>
      </c>
      <c r="H32" s="221">
        <f t="shared" si="3"/>
        <v>0.489060516201409</v>
      </c>
      <c r="I32" s="220">
        <v>2.7041745730550284</v>
      </c>
      <c r="J32" s="221">
        <f t="shared" si="3"/>
        <v>-2.0987026178871382E-2</v>
      </c>
      <c r="K32" s="220">
        <v>3.1517801374141161</v>
      </c>
      <c r="L32" s="221">
        <f t="shared" si="4"/>
        <v>0.44760556435908772</v>
      </c>
      <c r="M32" s="220">
        <v>3.1261325703385787</v>
      </c>
      <c r="N32" s="221">
        <f t="shared" ref="N32:N40" si="5">IFERROR(M32-K32,"-")</f>
        <v>-2.5647567075537392E-2</v>
      </c>
    </row>
    <row r="33" spans="2:15" x14ac:dyDescent="0.25">
      <c r="B33" s="145" t="s">
        <v>77</v>
      </c>
      <c r="C33" s="220">
        <v>2.599636032757052</v>
      </c>
      <c r="D33" s="221">
        <v>-0.10626917314815376</v>
      </c>
      <c r="E33" s="220">
        <v>2.167395104895105</v>
      </c>
      <c r="F33" s="221">
        <f t="shared" si="3"/>
        <v>-0.43224092786194701</v>
      </c>
      <c r="G33" s="220">
        <v>2.6814345991561179</v>
      </c>
      <c r="H33" s="221">
        <f t="shared" si="3"/>
        <v>0.51403949426101292</v>
      </c>
      <c r="I33" s="220">
        <v>2.7572009188902631</v>
      </c>
      <c r="J33" s="221">
        <f t="shared" si="3"/>
        <v>7.576631973414516E-2</v>
      </c>
      <c r="K33" s="220">
        <v>2.9589783281733748</v>
      </c>
      <c r="L33" s="221">
        <f t="shared" si="4"/>
        <v>0.20177740928311172</v>
      </c>
      <c r="M33" s="220">
        <v>2.6383377012354923</v>
      </c>
      <c r="N33" s="221">
        <f t="shared" si="5"/>
        <v>-0.32064062693788253</v>
      </c>
    </row>
    <row r="34" spans="2:15" x14ac:dyDescent="0.25">
      <c r="B34" s="145" t="s">
        <v>79</v>
      </c>
      <c r="C34" s="220" t="s">
        <v>233</v>
      </c>
      <c r="D34" s="221" t="s">
        <v>233</v>
      </c>
      <c r="E34" s="220">
        <v>2.2338797814207649</v>
      </c>
      <c r="F34" s="221" t="str">
        <f t="shared" si="3"/>
        <v>-</v>
      </c>
      <c r="G34" s="220">
        <v>2.9921472392638035</v>
      </c>
      <c r="H34" s="221">
        <f t="shared" si="3"/>
        <v>0.75826745784303862</v>
      </c>
      <c r="I34" s="220">
        <v>2.4570599613152804</v>
      </c>
      <c r="J34" s="221">
        <f t="shared" si="3"/>
        <v>-0.53508727794852318</v>
      </c>
      <c r="K34" s="220">
        <v>2.6590819153146024</v>
      </c>
      <c r="L34" s="221">
        <f t="shared" si="4"/>
        <v>0.20202195399932199</v>
      </c>
      <c r="M34" s="220">
        <v>2.7806406685236769</v>
      </c>
      <c r="N34" s="221">
        <f t="shared" si="5"/>
        <v>0.1215587532090745</v>
      </c>
    </row>
    <row r="35" spans="2:15" x14ac:dyDescent="0.25">
      <c r="B35" s="145" t="s">
        <v>81</v>
      </c>
      <c r="C35" s="220" t="s">
        <v>233</v>
      </c>
      <c r="D35" s="221" t="s">
        <v>233</v>
      </c>
      <c r="E35" s="220">
        <v>2.1226024821361413</v>
      </c>
      <c r="F35" s="221" t="str">
        <f t="shared" si="3"/>
        <v>-</v>
      </c>
      <c r="G35" s="220">
        <v>2.77670704845815</v>
      </c>
      <c r="H35" s="221">
        <f t="shared" si="3"/>
        <v>0.65410456632200864</v>
      </c>
      <c r="I35" s="220">
        <v>2.5519648912826649</v>
      </c>
      <c r="J35" s="221">
        <f t="shared" si="3"/>
        <v>-0.22474215717548507</v>
      </c>
      <c r="K35" s="220">
        <v>2.5066105769230771</v>
      </c>
      <c r="L35" s="221">
        <f t="shared" si="4"/>
        <v>-4.5354314359587811E-2</v>
      </c>
      <c r="M35" s="220">
        <v>2.6832733093237295</v>
      </c>
      <c r="N35" s="221">
        <f t="shared" si="5"/>
        <v>0.17666273240065244</v>
      </c>
    </row>
    <row r="36" spans="2:15" x14ac:dyDescent="0.25">
      <c r="B36" s="145" t="s">
        <v>83</v>
      </c>
      <c r="C36" s="220" t="s">
        <v>233</v>
      </c>
      <c r="D36" s="221" t="s">
        <v>233</v>
      </c>
      <c r="E36" s="220">
        <v>2.2000801924619084</v>
      </c>
      <c r="F36" s="221" t="str">
        <f t="shared" si="3"/>
        <v>-</v>
      </c>
      <c r="G36" s="220">
        <v>2.4949115044247789</v>
      </c>
      <c r="H36" s="221">
        <f t="shared" si="3"/>
        <v>0.29483131196287049</v>
      </c>
      <c r="I36" s="220">
        <v>2.4809854101889499</v>
      </c>
      <c r="J36" s="221">
        <f t="shared" si="3"/>
        <v>-1.3926094235829023E-2</v>
      </c>
      <c r="K36" s="220">
        <v>2.5517154389505552</v>
      </c>
      <c r="L36" s="221">
        <f t="shared" si="4"/>
        <v>7.0730028761605279E-2</v>
      </c>
      <c r="M36" s="220">
        <v>2.8302986161689732</v>
      </c>
      <c r="N36" s="221">
        <f t="shared" si="5"/>
        <v>0.27858317721841797</v>
      </c>
    </row>
    <row r="37" spans="2:15" x14ac:dyDescent="0.25">
      <c r="B37" s="145" t="s">
        <v>85</v>
      </c>
      <c r="C37" s="220" t="s">
        <v>233</v>
      </c>
      <c r="D37" s="221" t="s">
        <v>233</v>
      </c>
      <c r="E37" s="220">
        <v>2.3360790774299836</v>
      </c>
      <c r="F37" s="221" t="str">
        <f t="shared" si="3"/>
        <v>-</v>
      </c>
      <c r="G37" s="220">
        <v>2.5052631578947366</v>
      </c>
      <c r="H37" s="221">
        <f t="shared" si="3"/>
        <v>0.16918408046475308</v>
      </c>
      <c r="I37" s="220">
        <v>2.2105990783410139</v>
      </c>
      <c r="J37" s="221">
        <f t="shared" si="3"/>
        <v>-0.29466407955372276</v>
      </c>
      <c r="K37" s="220">
        <v>2.2077073807968648</v>
      </c>
      <c r="L37" s="221">
        <f t="shared" si="4"/>
        <v>-2.8916975441490855E-3</v>
      </c>
      <c r="M37" s="220">
        <v>2.7481440747869121</v>
      </c>
      <c r="N37" s="221">
        <f t="shared" si="5"/>
        <v>0.54043669399004735</v>
      </c>
    </row>
    <row r="38" spans="2:15" x14ac:dyDescent="0.25">
      <c r="B38" s="145" t="s">
        <v>87</v>
      </c>
      <c r="C38" s="220">
        <v>2.499459848757652</v>
      </c>
      <c r="D38" s="221">
        <v>0.32659695508017172</v>
      </c>
      <c r="E38" s="220">
        <v>2.9317173096620008</v>
      </c>
      <c r="F38" s="221">
        <f t="shared" si="3"/>
        <v>0.4322574609043488</v>
      </c>
      <c r="G38" s="220">
        <v>2.6119023397761953</v>
      </c>
      <c r="H38" s="221">
        <f t="shared" si="3"/>
        <v>-0.31981496988580549</v>
      </c>
      <c r="I38" s="220">
        <v>2.5556512378902045</v>
      </c>
      <c r="J38" s="221">
        <f t="shared" si="3"/>
        <v>-5.6251101885990806E-2</v>
      </c>
      <c r="K38" s="220">
        <v>3.1938599517074855</v>
      </c>
      <c r="L38" s="221">
        <f t="shared" si="4"/>
        <v>0.63820871381728095</v>
      </c>
      <c r="M38" s="220">
        <v>2.856691765848919</v>
      </c>
      <c r="N38" s="221">
        <f t="shared" si="5"/>
        <v>-0.33716818585856645</v>
      </c>
    </row>
    <row r="39" spans="2:15" x14ac:dyDescent="0.25">
      <c r="B39" s="145" t="s">
        <v>89</v>
      </c>
      <c r="C39" s="220">
        <v>2.135487528344671</v>
      </c>
      <c r="D39" s="221">
        <v>4.8655716089129886E-2</v>
      </c>
      <c r="E39" s="220">
        <v>2.452733776188043</v>
      </c>
      <c r="F39" s="221">
        <f t="shared" si="3"/>
        <v>0.31724624784337196</v>
      </c>
      <c r="G39" s="220">
        <v>2.3955875928352994</v>
      </c>
      <c r="H39" s="221">
        <f t="shared" si="3"/>
        <v>-5.7146183352743574E-2</v>
      </c>
      <c r="I39" s="220">
        <v>2.3459411634594116</v>
      </c>
      <c r="J39" s="221">
        <f t="shared" si="3"/>
        <v>-4.9646429375887813E-2</v>
      </c>
      <c r="K39" s="220">
        <v>2.2301946137212503</v>
      </c>
      <c r="L39" s="221">
        <f t="shared" si="4"/>
        <v>-0.11574654973816134</v>
      </c>
      <c r="M39" s="220">
        <v>2.4850695235924323</v>
      </c>
      <c r="N39" s="221">
        <f t="shared" si="5"/>
        <v>0.254874909871182</v>
      </c>
    </row>
    <row r="40" spans="2:15" x14ac:dyDescent="0.25">
      <c r="B40" s="145" t="s">
        <v>91</v>
      </c>
      <c r="C40" s="220">
        <v>2.0425170068027212</v>
      </c>
      <c r="D40" s="221">
        <v>-0.23159032695823667</v>
      </c>
      <c r="E40" s="220">
        <v>2.9937869822485208</v>
      </c>
      <c r="F40" s="221">
        <f t="shared" si="3"/>
        <v>0.95126997544579961</v>
      </c>
      <c r="G40" s="220">
        <v>2.8807453416149067</v>
      </c>
      <c r="H40" s="221">
        <f t="shared" si="3"/>
        <v>-0.1130416406336141</v>
      </c>
      <c r="I40" s="220">
        <v>2.5134645847476804</v>
      </c>
      <c r="J40" s="221">
        <f t="shared" si="3"/>
        <v>-0.36728075686722628</v>
      </c>
      <c r="K40" s="220">
        <v>2.4775360845700347</v>
      </c>
      <c r="L40" s="221">
        <f t="shared" si="4"/>
        <v>-3.5928500177645706E-2</v>
      </c>
      <c r="M40" s="220">
        <v>2.4095158597662771</v>
      </c>
      <c r="N40" s="221">
        <f t="shared" si="5"/>
        <v>-6.8020224803757579E-2</v>
      </c>
    </row>
    <row r="41" spans="2:15" x14ac:dyDescent="0.25">
      <c r="B41" s="145" t="s">
        <v>93</v>
      </c>
      <c r="C41" s="220">
        <v>2.0164492342597846</v>
      </c>
      <c r="D41" s="221">
        <v>-0.33604246009237482</v>
      </c>
      <c r="E41" s="220">
        <v>2.7396582733812949</v>
      </c>
      <c r="F41" s="221">
        <f t="shared" si="3"/>
        <v>0.72320903912151024</v>
      </c>
      <c r="G41" s="220">
        <v>2.6980157089706491</v>
      </c>
      <c r="H41" s="221">
        <f t="shared" si="3"/>
        <v>-4.1642564410645733E-2</v>
      </c>
      <c r="I41" s="220">
        <v>2.6623690572119258</v>
      </c>
      <c r="J41" s="221">
        <f t="shared" si="3"/>
        <v>-3.564665175872328E-2</v>
      </c>
      <c r="K41" s="220">
        <v>2.7401171303074672</v>
      </c>
      <c r="L41" s="221">
        <f t="shared" si="4"/>
        <v>7.7748073095541326E-2</v>
      </c>
      <c r="M41" s="220"/>
      <c r="N41" s="221"/>
    </row>
    <row r="42" spans="2:15" x14ac:dyDescent="0.25">
      <c r="B42" s="145" t="s">
        <v>95</v>
      </c>
      <c r="C42" s="220">
        <v>2.2569676700111483</v>
      </c>
      <c r="D42" s="221">
        <v>-7.0529686937881308E-4</v>
      </c>
      <c r="E42" s="220">
        <v>2.4653312788906008</v>
      </c>
      <c r="F42" s="221">
        <f t="shared" si="3"/>
        <v>0.20836360887945249</v>
      </c>
      <c r="G42" s="220">
        <v>2.3449477351916377</v>
      </c>
      <c r="H42" s="221">
        <f t="shared" si="3"/>
        <v>-0.12038354369896309</v>
      </c>
      <c r="I42" s="220">
        <v>2.587568157033806</v>
      </c>
      <c r="J42" s="221">
        <f t="shared" si="3"/>
        <v>0.24262042184216837</v>
      </c>
      <c r="K42" s="220">
        <v>2.5476281560826322</v>
      </c>
      <c r="L42" s="221">
        <f t="shared" si="4"/>
        <v>-3.9940000951173893E-2</v>
      </c>
      <c r="M42" s="220"/>
      <c r="N42" s="221"/>
    </row>
    <row r="43" spans="2:15" ht="15.75" x14ac:dyDescent="0.25">
      <c r="B43" s="148" t="s">
        <v>32</v>
      </c>
      <c r="C43" s="222">
        <v>2.437843193922629</v>
      </c>
      <c r="D43" s="223">
        <v>2.1067972650881117E-3</v>
      </c>
      <c r="E43" s="222">
        <v>2.4937806482478173</v>
      </c>
      <c r="F43" s="223">
        <f t="shared" si="3"/>
        <v>5.5937454325188263E-2</v>
      </c>
      <c r="G43" s="222">
        <v>2.6756725259784404</v>
      </c>
      <c r="H43" s="223">
        <f t="shared" si="3"/>
        <v>0.1818918777306231</v>
      </c>
      <c r="I43" s="222">
        <v>2.5505786061867015</v>
      </c>
      <c r="J43" s="223">
        <f t="shared" si="3"/>
        <v>-0.12509391979173889</v>
      </c>
      <c r="K43" s="222">
        <v>2.6538649194953647</v>
      </c>
      <c r="L43" s="223">
        <f t="shared" si="4"/>
        <v>0.10328631330866322</v>
      </c>
      <c r="M43" s="222">
        <v>2.7066999978449671</v>
      </c>
      <c r="N43" s="223">
        <v>5.1033559606145751E-2</v>
      </c>
    </row>
    <row r="44" spans="2:15" ht="6" customHeight="1" x14ac:dyDescent="0.25"/>
    <row r="45" spans="2:15" x14ac:dyDescent="0.25">
      <c r="B45" s="131" t="s">
        <v>57</v>
      </c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</row>
    <row r="48" spans="2:15" ht="48.75" customHeight="1" thickBot="1" x14ac:dyDescent="0.3">
      <c r="B48" s="12" t="s">
        <v>305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48"/>
      <c r="N49" s="48"/>
      <c r="O49" s="1" t="s">
        <v>101</v>
      </c>
    </row>
    <row r="50" spans="1:15" ht="22.5" thickTop="1" thickBot="1" x14ac:dyDescent="0.3">
      <c r="B50" s="137"/>
      <c r="C50" s="225" t="s">
        <v>63</v>
      </c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</row>
    <row r="51" spans="1:15" ht="22.5" thickTop="1" thickBot="1" x14ac:dyDescent="0.3">
      <c r="B51" s="137"/>
      <c r="C51" s="138">
        <v>2020</v>
      </c>
      <c r="D51" s="139"/>
      <c r="E51" s="140">
        <v>2021</v>
      </c>
      <c r="F51" s="139"/>
      <c r="G51" s="140">
        <v>2022</v>
      </c>
      <c r="H51" s="139"/>
      <c r="I51" s="140">
        <v>2023</v>
      </c>
      <c r="J51" s="139"/>
      <c r="K51" s="140">
        <v>2024</v>
      </c>
      <c r="L51" s="139"/>
      <c r="M51" s="140">
        <f>M$7</f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CONCATENATE("dif ",RIGHT(C51,2),"/",RIGHT(C51-1,2))</f>
        <v>dif 20/19</v>
      </c>
      <c r="E52" s="144" t="s">
        <v>71</v>
      </c>
      <c r="F52" s="143" t="str">
        <f>CONCATENATE("dif ",RIGHT(E51,2),"/",RIGHT(C51,2))</f>
        <v>dif 21/20</v>
      </c>
      <c r="G52" s="144" t="s">
        <v>71</v>
      </c>
      <c r="H52" s="143" t="str">
        <f>CONCATENATE("dif ",RIGHT(G51,2),"/",RIGHT(E51,2))</f>
        <v>dif 22/21</v>
      </c>
      <c r="I52" s="144" t="s">
        <v>71</v>
      </c>
      <c r="J52" s="143" t="str">
        <f>CONCATENATE("dif ",RIGHT(I51,2),"/",RIGHT(G51,2))</f>
        <v>dif 23/22</v>
      </c>
      <c r="K52" s="144" t="s">
        <v>71</v>
      </c>
      <c r="L52" s="143" t="str">
        <f>CONCATENATE("dif ",RIGHT(K51,2),"/",RIGHT(I51,2))</f>
        <v>dif 24/23</v>
      </c>
      <c r="M52" s="144" t="s">
        <v>71</v>
      </c>
      <c r="N52" s="143" t="str">
        <f>CONCATENATE("def ",RIGHT(M51,2),"/",RIGHT(K51,2))</f>
        <v>def 25/24</v>
      </c>
    </row>
    <row r="53" spans="1:15" x14ac:dyDescent="0.25">
      <c r="A53" s="1"/>
      <c r="B53" s="145" t="s">
        <v>73</v>
      </c>
      <c r="C53" s="220">
        <v>3.0477990818255467</v>
      </c>
      <c r="D53" s="221">
        <v>0.2117827107477841</v>
      </c>
      <c r="E53" s="220" t="s">
        <v>233</v>
      </c>
      <c r="F53" s="221" t="str">
        <f t="shared" ref="F53:J65" si="6">IFERROR(E53-C53,"-")</f>
        <v>-</v>
      </c>
      <c r="G53" s="220" t="s">
        <v>233</v>
      </c>
      <c r="H53" s="221" t="str">
        <f t="shared" si="6"/>
        <v>-</v>
      </c>
      <c r="I53" s="220">
        <v>2.7950872656755008</v>
      </c>
      <c r="J53" s="221" t="str">
        <f t="shared" si="6"/>
        <v>-</v>
      </c>
      <c r="K53" s="220">
        <v>2.9186357556843512</v>
      </c>
      <c r="L53" s="221">
        <f t="shared" ref="L53:L65" si="7">IFERROR(K53-I53,"-")</f>
        <v>0.12354849000885038</v>
      </c>
      <c r="M53" s="220">
        <v>2.8401337792642138</v>
      </c>
      <c r="N53" s="221">
        <f>IFERROR(M53-K53,"-")</f>
        <v>-7.8501976420137343E-2</v>
      </c>
    </row>
    <row r="54" spans="1:15" x14ac:dyDescent="0.25">
      <c r="A54" s="1"/>
      <c r="B54" s="145" t="s">
        <v>75</v>
      </c>
      <c r="C54" s="220">
        <v>3.1402388225492919</v>
      </c>
      <c r="D54" s="221">
        <v>0.16780511291421707</v>
      </c>
      <c r="E54" s="220" t="s">
        <v>233</v>
      </c>
      <c r="F54" s="221" t="str">
        <f t="shared" si="6"/>
        <v>-</v>
      </c>
      <c r="G54" s="220" t="s">
        <v>233</v>
      </c>
      <c r="H54" s="221" t="str">
        <f t="shared" si="6"/>
        <v>-</v>
      </c>
      <c r="I54" s="220">
        <v>2.8731359893167148</v>
      </c>
      <c r="J54" s="221" t="str">
        <f t="shared" si="6"/>
        <v>-</v>
      </c>
      <c r="K54" s="220">
        <v>3.347750434998757</v>
      </c>
      <c r="L54" s="221">
        <f t="shared" si="7"/>
        <v>0.47461444568204225</v>
      </c>
      <c r="M54" s="220">
        <v>3.4421083802191292</v>
      </c>
      <c r="N54" s="221">
        <f t="shared" ref="N54:N62" si="8">IFERROR(M54-K54,"-")</f>
        <v>9.4357945220372219E-2</v>
      </c>
    </row>
    <row r="55" spans="1:15" x14ac:dyDescent="0.25">
      <c r="A55" s="1"/>
      <c r="B55" s="145" t="s">
        <v>77</v>
      </c>
      <c r="C55" s="220">
        <v>3.2750179985601151</v>
      </c>
      <c r="D55" s="221">
        <v>0.33952549320679593</v>
      </c>
      <c r="E55" s="220" t="s">
        <v>233</v>
      </c>
      <c r="F55" s="221" t="str">
        <f t="shared" si="6"/>
        <v>-</v>
      </c>
      <c r="G55" s="220" t="s">
        <v>233</v>
      </c>
      <c r="H55" s="221" t="str">
        <f t="shared" si="6"/>
        <v>-</v>
      </c>
      <c r="I55" s="220">
        <v>2.9364389233954453</v>
      </c>
      <c r="J55" s="221" t="str">
        <f t="shared" si="6"/>
        <v>-</v>
      </c>
      <c r="K55" s="220">
        <v>3.1342297174111211</v>
      </c>
      <c r="L55" s="221">
        <f t="shared" si="7"/>
        <v>0.19779079401567579</v>
      </c>
      <c r="M55" s="220">
        <v>2.7850322007550523</v>
      </c>
      <c r="N55" s="221">
        <f t="shared" si="8"/>
        <v>-0.3491975166560688</v>
      </c>
    </row>
    <row r="56" spans="1:15" x14ac:dyDescent="0.25">
      <c r="A56" s="1"/>
      <c r="B56" s="145" t="s">
        <v>79</v>
      </c>
      <c r="C56" s="220" t="s">
        <v>233</v>
      </c>
      <c r="D56" s="221" t="s">
        <v>233</v>
      </c>
      <c r="E56" s="220" t="s">
        <v>233</v>
      </c>
      <c r="F56" s="221" t="str">
        <f t="shared" si="6"/>
        <v>-</v>
      </c>
      <c r="G56" s="220">
        <v>3.1402254605444049</v>
      </c>
      <c r="H56" s="221" t="str">
        <f t="shared" si="6"/>
        <v>-</v>
      </c>
      <c r="I56" s="220">
        <v>2.5746586075665996</v>
      </c>
      <c r="J56" s="221">
        <f t="shared" si="6"/>
        <v>-0.56556685297780529</v>
      </c>
      <c r="K56" s="220">
        <v>2.7839800317676424</v>
      </c>
      <c r="L56" s="221">
        <f t="shared" si="7"/>
        <v>0.20932142420104283</v>
      </c>
      <c r="M56" s="220">
        <v>2.9443530701754388</v>
      </c>
      <c r="N56" s="221">
        <f t="shared" si="8"/>
        <v>0.16037303840779638</v>
      </c>
    </row>
    <row r="57" spans="1:15" x14ac:dyDescent="0.25">
      <c r="A57" s="1"/>
      <c r="B57" s="145" t="s">
        <v>81</v>
      </c>
      <c r="C57" s="220" t="s">
        <v>233</v>
      </c>
      <c r="D57" s="221" t="s">
        <v>233</v>
      </c>
      <c r="E57" s="220" t="s">
        <v>233</v>
      </c>
      <c r="F57" s="221" t="str">
        <f t="shared" si="6"/>
        <v>-</v>
      </c>
      <c r="G57" s="220">
        <v>2.9780715898097387</v>
      </c>
      <c r="H57" s="221" t="str">
        <f t="shared" si="6"/>
        <v>-</v>
      </c>
      <c r="I57" s="220">
        <v>2.6306366047745358</v>
      </c>
      <c r="J57" s="221">
        <f t="shared" si="6"/>
        <v>-0.34743498503520298</v>
      </c>
      <c r="K57" s="220">
        <v>2.5609430604982206</v>
      </c>
      <c r="L57" s="221">
        <f t="shared" si="7"/>
        <v>-6.9693544276315134E-2</v>
      </c>
      <c r="M57" s="220">
        <v>2.8007017543859649</v>
      </c>
      <c r="N57" s="221">
        <f t="shared" si="8"/>
        <v>0.23975869388774429</v>
      </c>
    </row>
    <row r="58" spans="1:15" x14ac:dyDescent="0.25">
      <c r="A58" s="1"/>
      <c r="B58" s="145" t="s">
        <v>83</v>
      </c>
      <c r="C58" s="220" t="s">
        <v>233</v>
      </c>
      <c r="D58" s="221" t="s">
        <v>233</v>
      </c>
      <c r="E58" s="220" t="s">
        <v>233</v>
      </c>
      <c r="F58" s="221" t="str">
        <f t="shared" si="6"/>
        <v>-</v>
      </c>
      <c r="G58" s="220">
        <v>2.5641587533479426</v>
      </c>
      <c r="H58" s="221" t="str">
        <f t="shared" si="6"/>
        <v>-</v>
      </c>
      <c r="I58" s="220">
        <v>2.5592901317558483</v>
      </c>
      <c r="J58" s="221">
        <f t="shared" si="6"/>
        <v>-4.8686215920943354E-3</v>
      </c>
      <c r="K58" s="220">
        <v>2.6040229885057471</v>
      </c>
      <c r="L58" s="221">
        <f t="shared" si="7"/>
        <v>4.4732856749898797E-2</v>
      </c>
      <c r="M58" s="220">
        <v>3.045272206303725</v>
      </c>
      <c r="N58" s="221">
        <f t="shared" si="8"/>
        <v>0.44124921779797788</v>
      </c>
    </row>
    <row r="59" spans="1:15" x14ac:dyDescent="0.25">
      <c r="A59" s="1"/>
      <c r="B59" s="145" t="s">
        <v>85</v>
      </c>
      <c r="C59" s="220" t="s">
        <v>233</v>
      </c>
      <c r="D59" s="221" t="s">
        <v>233</v>
      </c>
      <c r="E59" s="220" t="s">
        <v>233</v>
      </c>
      <c r="F59" s="221" t="str">
        <f t="shared" si="6"/>
        <v>-</v>
      </c>
      <c r="G59" s="220">
        <v>2.501542416452442</v>
      </c>
      <c r="H59" s="221" t="str">
        <f t="shared" si="6"/>
        <v>-</v>
      </c>
      <c r="I59" s="220" t="s">
        <v>233</v>
      </c>
      <c r="J59" s="221" t="str">
        <f t="shared" si="6"/>
        <v>-</v>
      </c>
      <c r="K59" s="220">
        <v>2.2533062054933874</v>
      </c>
      <c r="L59" s="221" t="str">
        <f t="shared" si="7"/>
        <v>-</v>
      </c>
      <c r="M59" s="220">
        <v>2.8266793409378961</v>
      </c>
      <c r="N59" s="221">
        <f t="shared" si="8"/>
        <v>0.57337313544450863</v>
      </c>
    </row>
    <row r="60" spans="1:15" x14ac:dyDescent="0.25">
      <c r="A60" s="1"/>
      <c r="B60" s="145" t="s">
        <v>87</v>
      </c>
      <c r="C60" s="220" t="s">
        <v>233</v>
      </c>
      <c r="D60" s="221" t="s">
        <v>233</v>
      </c>
      <c r="E60" s="220" t="s">
        <v>233</v>
      </c>
      <c r="F60" s="221" t="str">
        <f t="shared" si="6"/>
        <v>-</v>
      </c>
      <c r="G60" s="220">
        <v>2.7960213776722092</v>
      </c>
      <c r="H60" s="221" t="str">
        <f t="shared" si="6"/>
        <v>-</v>
      </c>
      <c r="I60" s="220" t="s">
        <v>233</v>
      </c>
      <c r="J60" s="221" t="str">
        <f t="shared" si="6"/>
        <v>-</v>
      </c>
      <c r="K60" s="220">
        <v>3.3068565005620081</v>
      </c>
      <c r="L60" s="221" t="str">
        <f t="shared" si="7"/>
        <v>-</v>
      </c>
      <c r="M60" s="220">
        <v>2.9710798620323695</v>
      </c>
      <c r="N60" s="221">
        <f t="shared" si="8"/>
        <v>-0.33577663852963857</v>
      </c>
    </row>
    <row r="61" spans="1:15" x14ac:dyDescent="0.25">
      <c r="A61" s="1"/>
      <c r="B61" s="145" t="s">
        <v>89</v>
      </c>
      <c r="C61" s="220" t="s">
        <v>233</v>
      </c>
      <c r="D61" s="221" t="s">
        <v>233</v>
      </c>
      <c r="E61" s="220" t="s">
        <v>233</v>
      </c>
      <c r="F61" s="221" t="str">
        <f t="shared" si="6"/>
        <v>-</v>
      </c>
      <c r="G61" s="220">
        <v>2.500871296987802</v>
      </c>
      <c r="H61" s="221" t="str">
        <f t="shared" si="6"/>
        <v>-</v>
      </c>
      <c r="I61" s="220">
        <v>2.3941569695469176</v>
      </c>
      <c r="J61" s="221">
        <f t="shared" si="6"/>
        <v>-0.10671432744088438</v>
      </c>
      <c r="K61" s="220">
        <v>2.2749944333110665</v>
      </c>
      <c r="L61" s="221">
        <f t="shared" si="7"/>
        <v>-0.11916253623585105</v>
      </c>
      <c r="M61" s="220">
        <v>2.5774424146147736</v>
      </c>
      <c r="N61" s="221">
        <f t="shared" si="8"/>
        <v>0.30244798130370709</v>
      </c>
    </row>
    <row r="62" spans="1:15" x14ac:dyDescent="0.25">
      <c r="A62" s="1"/>
      <c r="B62" s="145" t="s">
        <v>91</v>
      </c>
      <c r="C62" s="220" t="s">
        <v>233</v>
      </c>
      <c r="D62" s="221" t="s">
        <v>233</v>
      </c>
      <c r="E62" s="220" t="s">
        <v>233</v>
      </c>
      <c r="F62" s="221" t="str">
        <f t="shared" si="6"/>
        <v>-</v>
      </c>
      <c r="G62" s="220">
        <v>2.916572077185017</v>
      </c>
      <c r="H62" s="221" t="str">
        <f t="shared" si="6"/>
        <v>-</v>
      </c>
      <c r="I62" s="220">
        <v>2.651506996770721</v>
      </c>
      <c r="J62" s="221">
        <f t="shared" si="6"/>
        <v>-0.26506508041429599</v>
      </c>
      <c r="K62" s="220">
        <v>2.6273516642547032</v>
      </c>
      <c r="L62" s="221">
        <f t="shared" si="7"/>
        <v>-2.4155332516017758E-2</v>
      </c>
      <c r="M62" s="220">
        <v>2.4928266770065917</v>
      </c>
      <c r="N62" s="221">
        <f t="shared" si="8"/>
        <v>-0.13452498724811157</v>
      </c>
    </row>
    <row r="63" spans="1:15" x14ac:dyDescent="0.25">
      <c r="A63" s="1"/>
      <c r="B63" s="145" t="s">
        <v>93</v>
      </c>
      <c r="C63" s="220" t="s">
        <v>233</v>
      </c>
      <c r="D63" s="221" t="s">
        <v>233</v>
      </c>
      <c r="E63" s="220" t="s">
        <v>233</v>
      </c>
      <c r="F63" s="221" t="str">
        <f t="shared" si="6"/>
        <v>-</v>
      </c>
      <c r="G63" s="220">
        <v>2.8604146576663454</v>
      </c>
      <c r="H63" s="221" t="str">
        <f t="shared" si="6"/>
        <v>-</v>
      </c>
      <c r="I63" s="220">
        <v>2.8276945384243595</v>
      </c>
      <c r="J63" s="221">
        <f t="shared" si="6"/>
        <v>-3.2720119241985923E-2</v>
      </c>
      <c r="K63" s="220">
        <v>2.9430714916151808</v>
      </c>
      <c r="L63" s="221">
        <f t="shared" si="7"/>
        <v>0.11537695319082131</v>
      </c>
      <c r="M63" s="220"/>
      <c r="N63" s="221"/>
    </row>
    <row r="64" spans="1:15" x14ac:dyDescent="0.25">
      <c r="A64" s="1"/>
      <c r="B64" s="145" t="s">
        <v>95</v>
      </c>
      <c r="C64" s="220" t="s">
        <v>233</v>
      </c>
      <c r="D64" s="221" t="s">
        <v>233</v>
      </c>
      <c r="E64" s="220" t="s">
        <v>233</v>
      </c>
      <c r="F64" s="221" t="str">
        <f t="shared" si="6"/>
        <v>-</v>
      </c>
      <c r="G64" s="220">
        <v>2.4325228641534689</v>
      </c>
      <c r="H64" s="221" t="str">
        <f t="shared" si="6"/>
        <v>-</v>
      </c>
      <c r="I64" s="220">
        <v>2.7499333511063715</v>
      </c>
      <c r="J64" s="221">
        <f t="shared" si="6"/>
        <v>0.31741048695290264</v>
      </c>
      <c r="K64" s="220">
        <v>2.6366930917327291</v>
      </c>
      <c r="L64" s="221">
        <f t="shared" si="7"/>
        <v>-0.11324025937364235</v>
      </c>
      <c r="M64" s="220"/>
      <c r="N64" s="221"/>
    </row>
    <row r="65" spans="1:15" ht="15.75" x14ac:dyDescent="0.25">
      <c r="B65" s="148" t="s">
        <v>32</v>
      </c>
      <c r="C65" s="222" t="s">
        <v>233</v>
      </c>
      <c r="D65" s="223" t="s">
        <v>233</v>
      </c>
      <c r="E65" s="222" t="s">
        <v>233</v>
      </c>
      <c r="F65" s="223" t="str">
        <f t="shared" si="6"/>
        <v>-</v>
      </c>
      <c r="G65" s="222">
        <v>2.7547137248133926</v>
      </c>
      <c r="H65" s="223" t="str">
        <f t="shared" si="6"/>
        <v>-</v>
      </c>
      <c r="I65" s="222">
        <v>2.6597626112759643</v>
      </c>
      <c r="J65" s="223">
        <f t="shared" si="6"/>
        <v>-9.4951113537428355E-2</v>
      </c>
      <c r="K65" s="222">
        <v>2.7683008187607401</v>
      </c>
      <c r="L65" s="223">
        <f t="shared" si="7"/>
        <v>0.10853820748477583</v>
      </c>
      <c r="M65" s="222">
        <v>2.8497149200262375</v>
      </c>
      <c r="N65" s="223">
        <v>8.6621973681403119E-2</v>
      </c>
    </row>
    <row r="66" spans="1:15" ht="6" customHeight="1" x14ac:dyDescent="0.25"/>
    <row r="67" spans="1:15" x14ac:dyDescent="0.25">
      <c r="B67" s="131" t="s">
        <v>57</v>
      </c>
      <c r="C67" s="228"/>
      <c r="D67" s="228"/>
      <c r="E67" s="228"/>
      <c r="F67" s="228"/>
      <c r="G67" s="228"/>
      <c r="H67" s="228"/>
      <c r="I67" s="228"/>
      <c r="J67" s="228"/>
      <c r="K67" s="228"/>
      <c r="L67" s="228"/>
      <c r="M67" s="228"/>
      <c r="N67" s="228"/>
    </row>
    <row r="70" spans="1:15" ht="48.75" customHeight="1" thickBot="1" x14ac:dyDescent="0.3">
      <c r="B70" s="12" t="s">
        <v>306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224"/>
      <c r="D71" s="224"/>
      <c r="E71" s="224"/>
      <c r="F71" s="224"/>
      <c r="G71" s="224"/>
      <c r="H71" s="224"/>
      <c r="I71" s="224"/>
      <c r="J71" s="224"/>
      <c r="K71" s="224"/>
      <c r="L71" s="224"/>
      <c r="M71" s="48"/>
      <c r="N71" s="48"/>
      <c r="O71" s="1" t="s">
        <v>104</v>
      </c>
    </row>
    <row r="72" spans="1:15" ht="22.5" thickTop="1" thickBot="1" x14ac:dyDescent="0.3">
      <c r="B72" s="137"/>
      <c r="C72" s="225" t="s">
        <v>64</v>
      </c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</row>
    <row r="73" spans="1:15" ht="22.5" thickTop="1" thickBot="1" x14ac:dyDescent="0.3">
      <c r="B73" s="137"/>
      <c r="C73" s="138">
        <v>2020</v>
      </c>
      <c r="D73" s="139"/>
      <c r="E73" s="140">
        <v>2021</v>
      </c>
      <c r="F73" s="139"/>
      <c r="G73" s="140">
        <v>2022</v>
      </c>
      <c r="H73" s="139"/>
      <c r="I73" s="140">
        <v>2023</v>
      </c>
      <c r="J73" s="139"/>
      <c r="K73" s="140">
        <v>2024</v>
      </c>
      <c r="L73" s="139"/>
      <c r="M73" s="140">
        <f>M$7</f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CONCATENATE("dif ",RIGHT(C73,2),"/",RIGHT(C73-1,2))</f>
        <v>dif 20/19</v>
      </c>
      <c r="E74" s="144" t="s">
        <v>71</v>
      </c>
      <c r="F74" s="143" t="str">
        <f>CONCATENATE("dif ",RIGHT(E73,2),"/",RIGHT(C73,2))</f>
        <v>dif 21/20</v>
      </c>
      <c r="G74" s="144" t="s">
        <v>71</v>
      </c>
      <c r="H74" s="143" t="str">
        <f>CONCATENATE("dif ",RIGHT(G73,2),"/",RIGHT(E73,2))</f>
        <v>dif 22/21</v>
      </c>
      <c r="I74" s="144" t="s">
        <v>71</v>
      </c>
      <c r="J74" s="143" t="str">
        <f>CONCATENATE("dif ",RIGHT(I73,2),"/",RIGHT(G73,2))</f>
        <v>dif 23/22</v>
      </c>
      <c r="K74" s="144" t="s">
        <v>71</v>
      </c>
      <c r="L74" s="143" t="str">
        <f>CONCATENATE("dif ",RIGHT(K73,2),"/",RIGHT(I73,2))</f>
        <v>dif 24/23</v>
      </c>
      <c r="M74" s="144" t="s">
        <v>71</v>
      </c>
      <c r="N74" s="143" t="str">
        <f>CONCATENATE("def ",RIGHT(M73,2),"/",RIGHT(K73,2))</f>
        <v>def 25/24</v>
      </c>
    </row>
    <row r="75" spans="1:15" x14ac:dyDescent="0.25">
      <c r="A75" s="1"/>
      <c r="B75" s="145" t="s">
        <v>73</v>
      </c>
      <c r="C75" s="220">
        <v>1.5508701472556894</v>
      </c>
      <c r="D75" s="221">
        <v>-0.385381042087793</v>
      </c>
      <c r="E75" s="220" t="s">
        <v>233</v>
      </c>
      <c r="F75" s="221" t="str">
        <f t="shared" ref="F75:J87" si="9">IFERROR(E75-C75,"-")</f>
        <v>-</v>
      </c>
      <c r="G75" s="220" t="s">
        <v>233</v>
      </c>
      <c r="H75" s="221" t="str">
        <f t="shared" si="9"/>
        <v>-</v>
      </c>
      <c r="I75" s="220">
        <v>1.8437917222963951</v>
      </c>
      <c r="J75" s="221" t="str">
        <f t="shared" si="9"/>
        <v>-</v>
      </c>
      <c r="K75" s="220">
        <v>2.0355677154582765</v>
      </c>
      <c r="L75" s="221">
        <f t="shared" ref="L75:L87" si="10">IFERROR(K75-I75,"-")</f>
        <v>0.19177599316188143</v>
      </c>
      <c r="M75" s="220">
        <v>1.8365617433414043</v>
      </c>
      <c r="N75" s="221">
        <f>IFERROR(M75-K75,"-")</f>
        <v>-0.19900597211687221</v>
      </c>
    </row>
    <row r="76" spans="1:15" x14ac:dyDescent="0.25">
      <c r="A76" s="1"/>
      <c r="B76" s="145" t="s">
        <v>75</v>
      </c>
      <c r="C76" s="220">
        <v>1.7258248009101251</v>
      </c>
      <c r="D76" s="221">
        <v>-0.16671516356589611</v>
      </c>
      <c r="E76" s="220" t="s">
        <v>233</v>
      </c>
      <c r="F76" s="221" t="str">
        <f t="shared" si="9"/>
        <v>-</v>
      </c>
      <c r="G76" s="220" t="s">
        <v>233</v>
      </c>
      <c r="H76" s="221" t="str">
        <f t="shared" si="9"/>
        <v>-</v>
      </c>
      <c r="I76" s="220">
        <v>1.7271557271557272</v>
      </c>
      <c r="J76" s="221" t="str">
        <f t="shared" si="9"/>
        <v>-</v>
      </c>
      <c r="K76" s="220">
        <v>2.141025641025641</v>
      </c>
      <c r="L76" s="221">
        <f t="shared" si="10"/>
        <v>0.41386991386991379</v>
      </c>
      <c r="M76" s="220">
        <v>1.8200734394124847</v>
      </c>
      <c r="N76" s="221">
        <f t="shared" ref="N76:N84" si="11">IFERROR(M76-K76,"-")</f>
        <v>-0.3209522016131563</v>
      </c>
    </row>
    <row r="77" spans="1:15" x14ac:dyDescent="0.25">
      <c r="A77" s="1"/>
      <c r="B77" s="145" t="s">
        <v>77</v>
      </c>
      <c r="C77" s="220">
        <v>1.4400494437577256</v>
      </c>
      <c r="D77" s="221">
        <v>-0.6583924825878833</v>
      </c>
      <c r="E77" s="220" t="s">
        <v>233</v>
      </c>
      <c r="F77" s="221" t="str">
        <f t="shared" si="9"/>
        <v>-</v>
      </c>
      <c r="G77" s="220" t="s">
        <v>233</v>
      </c>
      <c r="H77" s="221" t="str">
        <f t="shared" si="9"/>
        <v>-</v>
      </c>
      <c r="I77" s="220">
        <v>1.712907117008444</v>
      </c>
      <c r="J77" s="221" t="str">
        <f t="shared" si="9"/>
        <v>-</v>
      </c>
      <c r="K77" s="220">
        <v>1.9730769230769232</v>
      </c>
      <c r="L77" s="221">
        <f t="shared" si="10"/>
        <v>0.26016980606847917</v>
      </c>
      <c r="M77" s="220">
        <v>1.8510131108462455</v>
      </c>
      <c r="N77" s="221">
        <f t="shared" si="11"/>
        <v>-0.12206381223067764</v>
      </c>
    </row>
    <row r="78" spans="1:15" x14ac:dyDescent="0.25">
      <c r="A78" s="1"/>
      <c r="B78" s="145" t="s">
        <v>79</v>
      </c>
      <c r="C78" s="220" t="s">
        <v>233</v>
      </c>
      <c r="D78" s="221" t="s">
        <v>233</v>
      </c>
      <c r="E78" s="220" t="s">
        <v>233</v>
      </c>
      <c r="F78" s="221" t="str">
        <f t="shared" si="9"/>
        <v>-</v>
      </c>
      <c r="G78" s="220">
        <v>1.7625570776255708</v>
      </c>
      <c r="H78" s="221" t="str">
        <f t="shared" si="9"/>
        <v>-</v>
      </c>
      <c r="I78" s="220">
        <v>1.7098150782361308</v>
      </c>
      <c r="J78" s="221">
        <f t="shared" si="9"/>
        <v>-5.274199938944002E-2</v>
      </c>
      <c r="K78" s="220">
        <v>1.8083462132921175</v>
      </c>
      <c r="L78" s="221">
        <f t="shared" si="10"/>
        <v>9.8531135055986763E-2</v>
      </c>
      <c r="M78" s="220">
        <v>1.8757575757575757</v>
      </c>
      <c r="N78" s="221">
        <f t="shared" si="11"/>
        <v>6.7411362465458202E-2</v>
      </c>
    </row>
    <row r="79" spans="1:15" x14ac:dyDescent="0.25">
      <c r="A79" s="1"/>
      <c r="B79" s="145" t="s">
        <v>81</v>
      </c>
      <c r="C79" s="220" t="s">
        <v>233</v>
      </c>
      <c r="D79" s="221" t="s">
        <v>233</v>
      </c>
      <c r="E79" s="220" t="s">
        <v>233</v>
      </c>
      <c r="F79" s="221" t="str">
        <f t="shared" si="9"/>
        <v>-</v>
      </c>
      <c r="G79" s="220">
        <v>1.60075329566855</v>
      </c>
      <c r="H79" s="221" t="str">
        <f t="shared" si="9"/>
        <v>-</v>
      </c>
      <c r="I79" s="220">
        <v>1.8241308793456033</v>
      </c>
      <c r="J79" s="221">
        <f t="shared" si="9"/>
        <v>0.22337758367705329</v>
      </c>
      <c r="K79" s="220">
        <v>2.0141129032258065</v>
      </c>
      <c r="L79" s="221">
        <f t="shared" si="10"/>
        <v>0.18998202388020324</v>
      </c>
      <c r="M79" s="220">
        <v>1.9889349930843707</v>
      </c>
      <c r="N79" s="221">
        <f t="shared" si="11"/>
        <v>-2.5177910141435778E-2</v>
      </c>
    </row>
    <row r="80" spans="1:15" x14ac:dyDescent="0.25">
      <c r="A80" s="1"/>
      <c r="B80" s="145" t="s">
        <v>83</v>
      </c>
      <c r="C80" s="220" t="s">
        <v>233</v>
      </c>
      <c r="D80" s="221" t="s">
        <v>233</v>
      </c>
      <c r="E80" s="220" t="s">
        <v>233</v>
      </c>
      <c r="F80" s="221" t="str">
        <f t="shared" si="9"/>
        <v>-</v>
      </c>
      <c r="G80" s="220">
        <v>1.8062953995157385</v>
      </c>
      <c r="H80" s="221" t="str">
        <f t="shared" si="9"/>
        <v>-</v>
      </c>
      <c r="I80" s="220">
        <v>1.8506493506493507</v>
      </c>
      <c r="J80" s="221">
        <f t="shared" si="9"/>
        <v>4.4353951133612179E-2</v>
      </c>
      <c r="K80" s="220">
        <v>2.1756198347107438</v>
      </c>
      <c r="L80" s="221">
        <f t="shared" si="10"/>
        <v>0.32497048406139317</v>
      </c>
      <c r="M80" s="220">
        <v>1.6375198728139904</v>
      </c>
      <c r="N80" s="221">
        <f t="shared" si="11"/>
        <v>-0.53809996189675346</v>
      </c>
    </row>
    <row r="81" spans="1:15" x14ac:dyDescent="0.25">
      <c r="A81" s="1"/>
      <c r="B81" s="145" t="s">
        <v>85</v>
      </c>
      <c r="C81" s="220" t="s">
        <v>233</v>
      </c>
      <c r="D81" s="221" t="s">
        <v>233</v>
      </c>
      <c r="E81" s="220" t="s">
        <v>233</v>
      </c>
      <c r="F81" s="221" t="str">
        <f t="shared" si="9"/>
        <v>-</v>
      </c>
      <c r="G81" s="220">
        <v>2.5428571428571427</v>
      </c>
      <c r="H81" s="221" t="str">
        <f t="shared" si="9"/>
        <v>-</v>
      </c>
      <c r="I81" s="220" t="s">
        <v>233</v>
      </c>
      <c r="J81" s="221" t="str">
        <f t="shared" si="9"/>
        <v>-</v>
      </c>
      <c r="K81" s="220">
        <v>1.9364599092284418</v>
      </c>
      <c r="L81" s="221" t="str">
        <f t="shared" si="10"/>
        <v>-</v>
      </c>
      <c r="M81" s="220">
        <v>2.2328482328482329</v>
      </c>
      <c r="N81" s="221">
        <f t="shared" si="11"/>
        <v>0.29638832361979106</v>
      </c>
    </row>
    <row r="82" spans="1:15" x14ac:dyDescent="0.25">
      <c r="A82" s="1"/>
      <c r="B82" s="145" t="s">
        <v>87</v>
      </c>
      <c r="C82" s="220" t="s">
        <v>233</v>
      </c>
      <c r="D82" s="221" t="s">
        <v>233</v>
      </c>
      <c r="E82" s="220" t="s">
        <v>233</v>
      </c>
      <c r="F82" s="221" t="str">
        <f t="shared" si="9"/>
        <v>-</v>
      </c>
      <c r="G82" s="220">
        <v>1.5124113475177305</v>
      </c>
      <c r="H82" s="221" t="str">
        <f t="shared" si="9"/>
        <v>-</v>
      </c>
      <c r="I82" s="220" t="s">
        <v>233</v>
      </c>
      <c r="J82" s="221" t="str">
        <f t="shared" si="9"/>
        <v>-</v>
      </c>
      <c r="K82" s="220">
        <v>1.8826086956521739</v>
      </c>
      <c r="L82" s="221" t="str">
        <f t="shared" si="10"/>
        <v>-</v>
      </c>
      <c r="M82" s="220">
        <v>1.617816091954023</v>
      </c>
      <c r="N82" s="221">
        <f t="shared" si="11"/>
        <v>-0.26479260369815094</v>
      </c>
    </row>
    <row r="83" spans="1:15" x14ac:dyDescent="0.25">
      <c r="A83" s="1"/>
      <c r="B83" s="145" t="s">
        <v>89</v>
      </c>
      <c r="C83" s="220" t="s">
        <v>233</v>
      </c>
      <c r="D83" s="221" t="s">
        <v>233</v>
      </c>
      <c r="E83" s="220" t="s">
        <v>233</v>
      </c>
      <c r="F83" s="221" t="str">
        <f t="shared" si="9"/>
        <v>-</v>
      </c>
      <c r="G83" s="220">
        <v>1.641711229946524</v>
      </c>
      <c r="H83" s="221" t="str">
        <f t="shared" si="9"/>
        <v>-</v>
      </c>
      <c r="I83" s="220">
        <v>1.941908713692946</v>
      </c>
      <c r="J83" s="221">
        <f t="shared" si="9"/>
        <v>0.30019748374642208</v>
      </c>
      <c r="K83" s="220">
        <v>1.8926174496644295</v>
      </c>
      <c r="L83" s="221">
        <f t="shared" si="10"/>
        <v>-4.9291264028516579E-2</v>
      </c>
      <c r="M83" s="220">
        <v>1.9131147540983606</v>
      </c>
      <c r="N83" s="221">
        <f t="shared" si="11"/>
        <v>2.0497304433931163E-2</v>
      </c>
    </row>
    <row r="84" spans="1:15" x14ac:dyDescent="0.25">
      <c r="A84" s="1"/>
      <c r="B84" s="145" t="s">
        <v>91</v>
      </c>
      <c r="C84" s="220" t="s">
        <v>233</v>
      </c>
      <c r="D84" s="221" t="s">
        <v>233</v>
      </c>
      <c r="E84" s="220" t="s">
        <v>233</v>
      </c>
      <c r="F84" s="221" t="str">
        <f t="shared" si="9"/>
        <v>-</v>
      </c>
      <c r="G84" s="220">
        <v>2.6287425149700598</v>
      </c>
      <c r="H84" s="221" t="str">
        <f t="shared" si="9"/>
        <v>-</v>
      </c>
      <c r="I84" s="220">
        <v>1.7837837837837838</v>
      </c>
      <c r="J84" s="221">
        <f t="shared" si="9"/>
        <v>-0.84495873118627607</v>
      </c>
      <c r="K84" s="220">
        <v>1.6739974126778785</v>
      </c>
      <c r="L84" s="221">
        <f t="shared" si="10"/>
        <v>-0.10978637110590528</v>
      </c>
      <c r="M84" s="220">
        <v>1.8930288461538463</v>
      </c>
      <c r="N84" s="221">
        <f t="shared" si="11"/>
        <v>0.21903143347596776</v>
      </c>
    </row>
    <row r="85" spans="1:15" x14ac:dyDescent="0.25">
      <c r="A85" s="1"/>
      <c r="B85" s="145" t="s">
        <v>93</v>
      </c>
      <c r="C85" s="220" t="s">
        <v>233</v>
      </c>
      <c r="D85" s="221" t="s">
        <v>233</v>
      </c>
      <c r="E85" s="220" t="s">
        <v>233</v>
      </c>
      <c r="F85" s="221" t="str">
        <f t="shared" si="9"/>
        <v>-</v>
      </c>
      <c r="G85" s="220">
        <v>1.7217391304347827</v>
      </c>
      <c r="H85" s="221" t="str">
        <f t="shared" si="9"/>
        <v>-</v>
      </c>
      <c r="I85" s="220">
        <v>1.834140435835351</v>
      </c>
      <c r="J85" s="221">
        <f t="shared" si="9"/>
        <v>0.11240130540056836</v>
      </c>
      <c r="K85" s="220">
        <v>1.7532188841201717</v>
      </c>
      <c r="L85" s="221">
        <f t="shared" si="10"/>
        <v>-8.0921551715179341E-2</v>
      </c>
      <c r="M85" s="220"/>
      <c r="N85" s="221"/>
    </row>
    <row r="86" spans="1:15" x14ac:dyDescent="0.25">
      <c r="A86" s="1"/>
      <c r="B86" s="145" t="s">
        <v>95</v>
      </c>
      <c r="C86" s="220" t="s">
        <v>233</v>
      </c>
      <c r="D86" s="221" t="s">
        <v>233</v>
      </c>
      <c r="E86" s="220" t="s">
        <v>233</v>
      </c>
      <c r="F86" s="221" t="str">
        <f t="shared" si="9"/>
        <v>-</v>
      </c>
      <c r="G86" s="220">
        <v>1.7701317715959004</v>
      </c>
      <c r="H86" s="221" t="str">
        <f t="shared" si="9"/>
        <v>-</v>
      </c>
      <c r="I86" s="220">
        <v>1.8573141486810552</v>
      </c>
      <c r="J86" s="221">
        <f t="shared" si="9"/>
        <v>8.718237708515475E-2</v>
      </c>
      <c r="K86" s="220">
        <v>2.0639606396063961</v>
      </c>
      <c r="L86" s="221">
        <f t="shared" si="10"/>
        <v>0.20664649092534093</v>
      </c>
      <c r="M86" s="220"/>
      <c r="N86" s="221"/>
    </row>
    <row r="87" spans="1:15" ht="15.75" x14ac:dyDescent="0.25">
      <c r="B87" s="148" t="s">
        <v>32</v>
      </c>
      <c r="C87" s="222" t="s">
        <v>233</v>
      </c>
      <c r="D87" s="223" t="s">
        <v>233</v>
      </c>
      <c r="E87" s="222" t="s">
        <v>233</v>
      </c>
      <c r="F87" s="223" t="str">
        <f t="shared" si="9"/>
        <v>-</v>
      </c>
      <c r="G87" s="222">
        <v>1.9616059247709998</v>
      </c>
      <c r="H87" s="223" t="str">
        <f t="shared" si="9"/>
        <v>-</v>
      </c>
      <c r="I87" s="222">
        <v>1.8250295780202446</v>
      </c>
      <c r="J87" s="223">
        <f t="shared" si="9"/>
        <v>-0.13657634675075525</v>
      </c>
      <c r="K87" s="222">
        <v>1.9394168875425974</v>
      </c>
      <c r="L87" s="223">
        <f t="shared" si="10"/>
        <v>0.11438730952235288</v>
      </c>
      <c r="M87" s="222">
        <v>1.8687361419068735</v>
      </c>
      <c r="N87" s="223">
        <v>-8.2380724392899785E-2</v>
      </c>
    </row>
    <row r="88" spans="1:15" ht="6" customHeight="1" x14ac:dyDescent="0.25"/>
    <row r="89" spans="1:15" x14ac:dyDescent="0.25">
      <c r="B89" s="131" t="s">
        <v>57</v>
      </c>
      <c r="C89" s="228"/>
      <c r="D89" s="228"/>
      <c r="E89" s="228"/>
      <c r="F89" s="228"/>
      <c r="G89" s="228"/>
      <c r="H89" s="228"/>
      <c r="I89" s="228"/>
      <c r="J89" s="228"/>
      <c r="K89" s="228"/>
      <c r="L89" s="228"/>
      <c r="M89" s="228"/>
      <c r="N89" s="228"/>
    </row>
    <row r="92" spans="1:15" ht="48.75" customHeight="1" thickBot="1" x14ac:dyDescent="0.3">
      <c r="B92" s="12" t="s">
        <v>307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116</v>
      </c>
    </row>
    <row r="93" spans="1:15" ht="10.5" customHeight="1" thickBot="1" x14ac:dyDescent="0.3">
      <c r="B93" s="132"/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48"/>
      <c r="N93" s="48"/>
      <c r="O93" s="1" t="s">
        <v>117</v>
      </c>
    </row>
    <row r="94" spans="1:15" ht="22.5" thickTop="1" thickBot="1" x14ac:dyDescent="0.3">
      <c r="B94" s="152" t="s">
        <v>98</v>
      </c>
      <c r="C94" s="225" t="s">
        <v>34</v>
      </c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</row>
    <row r="95" spans="1:15" ht="22.5" thickTop="1" thickBot="1" x14ac:dyDescent="0.3">
      <c r="B95" s="137"/>
      <c r="C95" s="138">
        <v>2020</v>
      </c>
      <c r="D95" s="139"/>
      <c r="E95" s="140">
        <v>2021</v>
      </c>
      <c r="F95" s="139"/>
      <c r="G95" s="140">
        <v>2022</v>
      </c>
      <c r="H95" s="139"/>
      <c r="I95" s="140">
        <v>2023</v>
      </c>
      <c r="J95" s="139"/>
      <c r="K95" s="140">
        <v>2024</v>
      </c>
      <c r="L95" s="139"/>
      <c r="M95" s="140">
        <f>M$7</f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CONCATENATE("dif ",RIGHT(C95,2),"/",RIGHT(C95-1,2))</f>
        <v>dif 20/19</v>
      </c>
      <c r="E96" s="144" t="s">
        <v>71</v>
      </c>
      <c r="F96" s="143" t="str">
        <f>CONCATENATE("dif ",RIGHT(E95,2),"/",RIGHT(C95,2))</f>
        <v>dif 21/20</v>
      </c>
      <c r="G96" s="144" t="s">
        <v>71</v>
      </c>
      <c r="H96" s="143" t="str">
        <f>CONCATENATE("dif ",RIGHT(G95,2),"/",RIGHT(E95,2))</f>
        <v>dif 22/21</v>
      </c>
      <c r="I96" s="144" t="s">
        <v>71</v>
      </c>
      <c r="J96" s="143" t="str">
        <f>CONCATENATE("dif ",RIGHT(I95,2),"/",RIGHT(G95,2))</f>
        <v>dif 23/22</v>
      </c>
      <c r="K96" s="144" t="s">
        <v>71</v>
      </c>
      <c r="L96" s="143" t="str">
        <f>CONCATENATE("dif ",RIGHT(K95,2),"/",RIGHT(I95,2))</f>
        <v>dif 24/23</v>
      </c>
      <c r="M96" s="144" t="s">
        <v>71</v>
      </c>
      <c r="N96" s="143" t="str">
        <f>CONCATENATE("def ",RIGHT(M95,2),"/",RIGHT(K95,2))</f>
        <v>def 25/24</v>
      </c>
    </row>
    <row r="97" spans="2:14" x14ac:dyDescent="0.25">
      <c r="B97" s="145" t="s">
        <v>73</v>
      </c>
      <c r="C97" s="220" t="s">
        <v>233</v>
      </c>
      <c r="D97" s="221" t="s">
        <v>233</v>
      </c>
      <c r="E97" s="220" t="s">
        <v>233</v>
      </c>
      <c r="F97" s="221" t="str">
        <f t="shared" ref="F97:J109" si="12">IFERROR(E97-C97,"-")</f>
        <v>-</v>
      </c>
      <c r="G97" s="220" t="s">
        <v>233</v>
      </c>
      <c r="H97" s="221" t="str">
        <f t="shared" si="12"/>
        <v>-</v>
      </c>
      <c r="I97" s="220" t="s">
        <v>233</v>
      </c>
      <c r="J97" s="221" t="str">
        <f t="shared" si="12"/>
        <v>-</v>
      </c>
      <c r="K97" s="220" t="s">
        <v>233</v>
      </c>
      <c r="L97" s="221" t="str">
        <f t="shared" ref="L97:L109" si="13">IFERROR(K97-I97,"-")</f>
        <v>-</v>
      </c>
      <c r="M97" s="220" t="s">
        <v>233</v>
      </c>
      <c r="N97" s="221" t="str">
        <f>IFERROR(M97-K97,"-")</f>
        <v>-</v>
      </c>
    </row>
    <row r="98" spans="2:14" x14ac:dyDescent="0.25">
      <c r="B98" s="145" t="s">
        <v>75</v>
      </c>
      <c r="C98" s="220" t="s">
        <v>233</v>
      </c>
      <c r="D98" s="221" t="s">
        <v>233</v>
      </c>
      <c r="E98" s="220" t="s">
        <v>233</v>
      </c>
      <c r="F98" s="221" t="str">
        <f t="shared" si="12"/>
        <v>-</v>
      </c>
      <c r="G98" s="220" t="s">
        <v>233</v>
      </c>
      <c r="H98" s="221" t="str">
        <f t="shared" si="12"/>
        <v>-</v>
      </c>
      <c r="I98" s="220" t="s">
        <v>233</v>
      </c>
      <c r="J98" s="221" t="str">
        <f t="shared" si="12"/>
        <v>-</v>
      </c>
      <c r="K98" s="220" t="s">
        <v>233</v>
      </c>
      <c r="L98" s="221" t="str">
        <f t="shared" si="13"/>
        <v>-</v>
      </c>
      <c r="M98" s="220" t="s">
        <v>233</v>
      </c>
      <c r="N98" s="221" t="str">
        <f t="shared" ref="N98:N106" si="14">IFERROR(M98-K98,"-")</f>
        <v>-</v>
      </c>
    </row>
    <row r="99" spans="2:14" x14ac:dyDescent="0.25">
      <c r="B99" s="145" t="s">
        <v>77</v>
      </c>
      <c r="C99" s="220" t="s">
        <v>233</v>
      </c>
      <c r="D99" s="221" t="s">
        <v>233</v>
      </c>
      <c r="E99" s="220" t="s">
        <v>233</v>
      </c>
      <c r="F99" s="221" t="str">
        <f t="shared" si="12"/>
        <v>-</v>
      </c>
      <c r="G99" s="220" t="s">
        <v>233</v>
      </c>
      <c r="H99" s="221" t="str">
        <f t="shared" si="12"/>
        <v>-</v>
      </c>
      <c r="I99" s="220" t="s">
        <v>233</v>
      </c>
      <c r="J99" s="221" t="str">
        <f t="shared" si="12"/>
        <v>-</v>
      </c>
      <c r="K99" s="220" t="s">
        <v>233</v>
      </c>
      <c r="L99" s="221" t="str">
        <f t="shared" si="13"/>
        <v>-</v>
      </c>
      <c r="M99" s="220" t="s">
        <v>233</v>
      </c>
      <c r="N99" s="221" t="str">
        <f t="shared" si="14"/>
        <v>-</v>
      </c>
    </row>
    <row r="100" spans="2:14" x14ac:dyDescent="0.25">
      <c r="B100" s="145" t="s">
        <v>79</v>
      </c>
      <c r="C100" s="220" t="s">
        <v>233</v>
      </c>
      <c r="D100" s="221" t="s">
        <v>233</v>
      </c>
      <c r="E100" s="220" t="s">
        <v>233</v>
      </c>
      <c r="F100" s="221" t="str">
        <f t="shared" si="12"/>
        <v>-</v>
      </c>
      <c r="G100" s="220" t="s">
        <v>233</v>
      </c>
      <c r="H100" s="221" t="str">
        <f t="shared" si="12"/>
        <v>-</v>
      </c>
      <c r="I100" s="220" t="s">
        <v>233</v>
      </c>
      <c r="J100" s="221" t="str">
        <f t="shared" si="12"/>
        <v>-</v>
      </c>
      <c r="K100" s="220" t="s">
        <v>233</v>
      </c>
      <c r="L100" s="221" t="str">
        <f t="shared" si="13"/>
        <v>-</v>
      </c>
      <c r="M100" s="220" t="s">
        <v>233</v>
      </c>
      <c r="N100" s="221" t="str">
        <f t="shared" si="14"/>
        <v>-</v>
      </c>
    </row>
    <row r="101" spans="2:14" x14ac:dyDescent="0.25">
      <c r="B101" s="145" t="s">
        <v>81</v>
      </c>
      <c r="C101" s="220" t="s">
        <v>233</v>
      </c>
      <c r="D101" s="221" t="s">
        <v>233</v>
      </c>
      <c r="E101" s="220" t="s">
        <v>233</v>
      </c>
      <c r="F101" s="221" t="str">
        <f t="shared" si="12"/>
        <v>-</v>
      </c>
      <c r="G101" s="220" t="s">
        <v>233</v>
      </c>
      <c r="H101" s="221" t="str">
        <f t="shared" si="12"/>
        <v>-</v>
      </c>
      <c r="I101" s="220" t="s">
        <v>233</v>
      </c>
      <c r="J101" s="221" t="str">
        <f t="shared" si="12"/>
        <v>-</v>
      </c>
      <c r="K101" s="220" t="s">
        <v>233</v>
      </c>
      <c r="L101" s="221" t="str">
        <f t="shared" si="13"/>
        <v>-</v>
      </c>
      <c r="M101" s="220" t="s">
        <v>233</v>
      </c>
      <c r="N101" s="221" t="str">
        <f t="shared" si="14"/>
        <v>-</v>
      </c>
    </row>
    <row r="102" spans="2:14" x14ac:dyDescent="0.25">
      <c r="B102" s="145" t="s">
        <v>83</v>
      </c>
      <c r="C102" s="220" t="s">
        <v>233</v>
      </c>
      <c r="D102" s="221" t="s">
        <v>233</v>
      </c>
      <c r="E102" s="220" t="s">
        <v>233</v>
      </c>
      <c r="F102" s="221" t="str">
        <f t="shared" si="12"/>
        <v>-</v>
      </c>
      <c r="G102" s="220" t="s">
        <v>233</v>
      </c>
      <c r="H102" s="221" t="str">
        <f t="shared" si="12"/>
        <v>-</v>
      </c>
      <c r="I102" s="220" t="s">
        <v>233</v>
      </c>
      <c r="J102" s="221" t="str">
        <f t="shared" si="12"/>
        <v>-</v>
      </c>
      <c r="K102" s="220" t="s">
        <v>233</v>
      </c>
      <c r="L102" s="221" t="str">
        <f t="shared" si="13"/>
        <v>-</v>
      </c>
      <c r="M102" s="220" t="s">
        <v>233</v>
      </c>
      <c r="N102" s="221" t="str">
        <f t="shared" si="14"/>
        <v>-</v>
      </c>
    </row>
    <row r="103" spans="2:14" x14ac:dyDescent="0.25">
      <c r="B103" s="145" t="s">
        <v>85</v>
      </c>
      <c r="C103" s="220" t="s">
        <v>233</v>
      </c>
      <c r="D103" s="221" t="s">
        <v>233</v>
      </c>
      <c r="E103" s="220" t="s">
        <v>233</v>
      </c>
      <c r="F103" s="221" t="str">
        <f t="shared" si="12"/>
        <v>-</v>
      </c>
      <c r="G103" s="220" t="s">
        <v>233</v>
      </c>
      <c r="H103" s="221" t="str">
        <f t="shared" si="12"/>
        <v>-</v>
      </c>
      <c r="I103" s="220" t="s">
        <v>233</v>
      </c>
      <c r="J103" s="221" t="str">
        <f t="shared" si="12"/>
        <v>-</v>
      </c>
      <c r="K103" s="220" t="s">
        <v>233</v>
      </c>
      <c r="L103" s="221" t="str">
        <f t="shared" si="13"/>
        <v>-</v>
      </c>
      <c r="M103" s="220" t="s">
        <v>233</v>
      </c>
      <c r="N103" s="221" t="str">
        <f t="shared" si="14"/>
        <v>-</v>
      </c>
    </row>
    <row r="104" spans="2:14" x14ac:dyDescent="0.25">
      <c r="B104" s="145" t="s">
        <v>87</v>
      </c>
      <c r="C104" s="220" t="s">
        <v>233</v>
      </c>
      <c r="D104" s="221" t="s">
        <v>233</v>
      </c>
      <c r="E104" s="220" t="s">
        <v>233</v>
      </c>
      <c r="F104" s="221" t="str">
        <f t="shared" si="12"/>
        <v>-</v>
      </c>
      <c r="G104" s="220" t="s">
        <v>233</v>
      </c>
      <c r="H104" s="221" t="str">
        <f t="shared" si="12"/>
        <v>-</v>
      </c>
      <c r="I104" s="220" t="s">
        <v>233</v>
      </c>
      <c r="J104" s="221" t="str">
        <f t="shared" si="12"/>
        <v>-</v>
      </c>
      <c r="K104" s="220" t="s">
        <v>233</v>
      </c>
      <c r="L104" s="221" t="str">
        <f t="shared" si="13"/>
        <v>-</v>
      </c>
      <c r="M104" s="220" t="s">
        <v>233</v>
      </c>
      <c r="N104" s="221" t="str">
        <f t="shared" si="14"/>
        <v>-</v>
      </c>
    </row>
    <row r="105" spans="2:14" x14ac:dyDescent="0.25">
      <c r="B105" s="145" t="s">
        <v>89</v>
      </c>
      <c r="C105" s="220" t="s">
        <v>233</v>
      </c>
      <c r="D105" s="221" t="s">
        <v>233</v>
      </c>
      <c r="E105" s="220" t="s">
        <v>233</v>
      </c>
      <c r="F105" s="221" t="str">
        <f t="shared" si="12"/>
        <v>-</v>
      </c>
      <c r="G105" s="220" t="s">
        <v>233</v>
      </c>
      <c r="H105" s="221" t="str">
        <f t="shared" si="12"/>
        <v>-</v>
      </c>
      <c r="I105" s="220" t="s">
        <v>233</v>
      </c>
      <c r="J105" s="221" t="str">
        <f t="shared" si="12"/>
        <v>-</v>
      </c>
      <c r="K105" s="220" t="s">
        <v>233</v>
      </c>
      <c r="L105" s="221" t="str">
        <f t="shared" si="13"/>
        <v>-</v>
      </c>
      <c r="M105" s="220" t="s">
        <v>233</v>
      </c>
      <c r="N105" s="221" t="str">
        <f t="shared" si="14"/>
        <v>-</v>
      </c>
    </row>
    <row r="106" spans="2:14" x14ac:dyDescent="0.25">
      <c r="B106" s="145" t="s">
        <v>91</v>
      </c>
      <c r="C106" s="220" t="s">
        <v>233</v>
      </c>
      <c r="D106" s="221" t="s">
        <v>233</v>
      </c>
      <c r="E106" s="220" t="s">
        <v>233</v>
      </c>
      <c r="F106" s="221" t="str">
        <f t="shared" si="12"/>
        <v>-</v>
      </c>
      <c r="G106" s="220" t="s">
        <v>233</v>
      </c>
      <c r="H106" s="221" t="str">
        <f t="shared" si="12"/>
        <v>-</v>
      </c>
      <c r="I106" s="220" t="s">
        <v>233</v>
      </c>
      <c r="J106" s="221" t="str">
        <f t="shared" si="12"/>
        <v>-</v>
      </c>
      <c r="K106" s="220" t="s">
        <v>233</v>
      </c>
      <c r="L106" s="221" t="str">
        <f t="shared" si="13"/>
        <v>-</v>
      </c>
      <c r="M106" s="220" t="s">
        <v>233</v>
      </c>
      <c r="N106" s="221" t="str">
        <f t="shared" si="14"/>
        <v>-</v>
      </c>
    </row>
    <row r="107" spans="2:14" x14ac:dyDescent="0.25">
      <c r="B107" s="145" t="s">
        <v>93</v>
      </c>
      <c r="C107" s="220" t="s">
        <v>233</v>
      </c>
      <c r="D107" s="221" t="s">
        <v>233</v>
      </c>
      <c r="E107" s="220" t="s">
        <v>233</v>
      </c>
      <c r="F107" s="221" t="str">
        <f t="shared" si="12"/>
        <v>-</v>
      </c>
      <c r="G107" s="220" t="s">
        <v>233</v>
      </c>
      <c r="H107" s="221" t="str">
        <f t="shared" si="12"/>
        <v>-</v>
      </c>
      <c r="I107" s="220" t="s">
        <v>233</v>
      </c>
      <c r="J107" s="221" t="str">
        <f t="shared" si="12"/>
        <v>-</v>
      </c>
      <c r="K107" s="220" t="s">
        <v>233</v>
      </c>
      <c r="L107" s="221" t="str">
        <f t="shared" si="13"/>
        <v>-</v>
      </c>
      <c r="M107" s="220"/>
      <c r="N107" s="221"/>
    </row>
    <row r="108" spans="2:14" x14ac:dyDescent="0.25">
      <c r="B108" s="145" t="s">
        <v>95</v>
      </c>
      <c r="C108" s="220" t="s">
        <v>233</v>
      </c>
      <c r="D108" s="221" t="s">
        <v>233</v>
      </c>
      <c r="E108" s="220" t="s">
        <v>233</v>
      </c>
      <c r="F108" s="221" t="str">
        <f t="shared" si="12"/>
        <v>-</v>
      </c>
      <c r="G108" s="220" t="s">
        <v>233</v>
      </c>
      <c r="H108" s="221" t="str">
        <f t="shared" si="12"/>
        <v>-</v>
      </c>
      <c r="I108" s="220" t="s">
        <v>233</v>
      </c>
      <c r="J108" s="221" t="str">
        <f t="shared" si="12"/>
        <v>-</v>
      </c>
      <c r="K108" s="220" t="s">
        <v>233</v>
      </c>
      <c r="L108" s="221" t="str">
        <f t="shared" si="13"/>
        <v>-</v>
      </c>
      <c r="M108" s="220"/>
      <c r="N108" s="221"/>
    </row>
    <row r="109" spans="2:14" ht="15.75" x14ac:dyDescent="0.25">
      <c r="B109" s="148" t="s">
        <v>32</v>
      </c>
      <c r="C109" s="222" t="s">
        <v>233</v>
      </c>
      <c r="D109" s="223" t="s">
        <v>233</v>
      </c>
      <c r="E109" s="222" t="s">
        <v>233</v>
      </c>
      <c r="F109" s="223" t="str">
        <f t="shared" si="12"/>
        <v>-</v>
      </c>
      <c r="G109" s="222" t="s">
        <v>233</v>
      </c>
      <c r="H109" s="223" t="str">
        <f t="shared" si="12"/>
        <v>-</v>
      </c>
      <c r="I109" s="222" t="s">
        <v>233</v>
      </c>
      <c r="J109" s="223" t="str">
        <f t="shared" si="12"/>
        <v>-</v>
      </c>
      <c r="K109" s="222" t="s">
        <v>233</v>
      </c>
      <c r="L109" s="223" t="str">
        <f t="shared" si="13"/>
        <v>-</v>
      </c>
      <c r="M109" s="222" t="s">
        <v>233</v>
      </c>
      <c r="N109" s="223" t="s">
        <v>233</v>
      </c>
    </row>
    <row r="110" spans="2:14" ht="6" customHeight="1" x14ac:dyDescent="0.25"/>
    <row r="111" spans="2:14" x14ac:dyDescent="0.25">
      <c r="B111" s="131" t="s">
        <v>57</v>
      </c>
      <c r="C111" s="228"/>
      <c r="D111" s="228"/>
      <c r="E111" s="228"/>
      <c r="F111" s="228"/>
      <c r="G111" s="228"/>
      <c r="H111" s="228"/>
      <c r="I111" s="228"/>
      <c r="J111" s="228"/>
      <c r="K111" s="228"/>
      <c r="L111" s="228"/>
      <c r="M111" s="228"/>
      <c r="N111" s="228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861FB-8B23-47B7-9B6A-9AD32E85BDB3}">
  <sheetPr>
    <tabColor rgb="FF7030A0"/>
  </sheetPr>
  <dimension ref="A4:A24"/>
  <sheetViews>
    <sheetView showGridLines="0" workbookViewId="0">
      <selection activeCell="D5" sqref="D5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B9AA3-B707-4094-8165-C813F9A1940A}">
  <sheetPr>
    <tabColor rgb="FFAC75D5"/>
  </sheetPr>
  <dimension ref="A1:AC112"/>
  <sheetViews>
    <sheetView showGridLines="0" topLeftCell="A96" zoomScaleNormal="100" workbookViewId="0">
      <selection activeCell="D5" sqref="D5"/>
    </sheetView>
  </sheetViews>
  <sheetFormatPr baseColWidth="10" defaultColWidth="11.42578125" defaultRowHeight="15" x14ac:dyDescent="0.25"/>
  <cols>
    <col min="1" max="1" width="15.28515625" customWidth="1"/>
    <col min="3" max="3" width="15.85546875" bestFit="1" customWidth="1"/>
    <col min="13" max="13" width="14.7109375" bestFit="1" customWidth="1"/>
    <col min="15" max="15" width="14.85546875" customWidth="1"/>
  </cols>
  <sheetData>
    <row r="1" spans="1:16" ht="18.75" x14ac:dyDescent="0.3">
      <c r="C1" s="103"/>
      <c r="D1" s="230" t="s">
        <v>152</v>
      </c>
    </row>
    <row r="2" spans="1:16" ht="18.75" x14ac:dyDescent="0.3">
      <c r="D2" s="230" t="s">
        <v>153</v>
      </c>
    </row>
    <row r="4" spans="1:16" ht="48.75" customHeight="1" thickBot="1" x14ac:dyDescent="0.3">
      <c r="B4" s="12" t="s">
        <v>308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P4" s="1" t="s">
        <v>154</v>
      </c>
    </row>
    <row r="5" spans="1:16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P5" s="1" t="s">
        <v>155</v>
      </c>
    </row>
    <row r="6" spans="1:16" ht="22.5" thickTop="1" thickBot="1" x14ac:dyDescent="0.3">
      <c r="B6" s="137"/>
      <c r="C6" s="135" t="s">
        <v>156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6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6" ht="16.5" thickTop="1" thickBot="1" x14ac:dyDescent="0.3">
      <c r="B8" s="109"/>
      <c r="C8" s="142" t="s">
        <v>71</v>
      </c>
      <c r="D8" s="143" t="str">
        <f>CONCATENATE("dif ",RIGHT(C7,2),"/",RIGHT(C7-1,2))</f>
        <v>dif 20/19</v>
      </c>
      <c r="E8" s="144" t="s">
        <v>71</v>
      </c>
      <c r="F8" s="143" t="str">
        <f>CONCATENATE("dif ",RIGHT(E7,2),"/",RIGHT(C7,2))</f>
        <v>dif 21/20</v>
      </c>
      <c r="G8" s="144" t="s">
        <v>71</v>
      </c>
      <c r="H8" s="143" t="str">
        <f>CONCATENATE("dif ",RIGHT(G7,2),"/",RIGHT(E7,2))</f>
        <v>dif 22/21</v>
      </c>
      <c r="I8" s="144" t="s">
        <v>71</v>
      </c>
      <c r="J8" s="143" t="str">
        <f>CONCATENATE("dif ",RIGHT(I7,2),"/",RIGHT(G7,2))</f>
        <v>dif 23/22</v>
      </c>
      <c r="K8" s="144" t="s">
        <v>71</v>
      </c>
      <c r="L8" s="143" t="str">
        <f>CONCATENATE("dif ",RIGHT(K7,2),"/",RIGHT(I7,2))</f>
        <v>dif 24/23</v>
      </c>
      <c r="M8" s="144" t="s">
        <v>71</v>
      </c>
      <c r="N8" s="143" t="str">
        <f>CONCATENATE("var ",RIGHT(M7,2),"/",RIGHT(K7,2))</f>
        <v>var 25/24</v>
      </c>
    </row>
    <row r="9" spans="1:16" x14ac:dyDescent="0.25">
      <c r="A9" s="1" t="s">
        <v>72</v>
      </c>
      <c r="B9" s="145" t="s">
        <v>73</v>
      </c>
      <c r="C9" s="231">
        <v>0.56399999999999995</v>
      </c>
      <c r="D9" s="147">
        <v>9.4508053561032312E-2</v>
      </c>
      <c r="E9" s="231">
        <v>0.19170000000000001</v>
      </c>
      <c r="F9" s="147">
        <f t="shared" ref="F9:L21" si="0">IFERROR(E9/C9-1,"-")</f>
        <v>-0.66010638297872337</v>
      </c>
      <c r="G9" s="231">
        <v>0.58840000000000003</v>
      </c>
      <c r="H9" s="147">
        <f t="shared" si="0"/>
        <v>2.0693792383933229</v>
      </c>
      <c r="I9" s="231">
        <v>0.69830000000000003</v>
      </c>
      <c r="J9" s="147">
        <f t="shared" si="0"/>
        <v>0.18677770224337187</v>
      </c>
      <c r="K9" s="231">
        <v>0.69889999999999997</v>
      </c>
      <c r="L9" s="147">
        <f t="shared" si="0"/>
        <v>8.5922955749673235E-4</v>
      </c>
      <c r="M9" s="231">
        <v>0.68330000000000002</v>
      </c>
      <c r="N9" s="147">
        <f t="shared" ref="N9:N18" si="1">IFERROR(M9/K9-1,"-")</f>
        <v>-2.2320789812562469E-2</v>
      </c>
    </row>
    <row r="10" spans="1:16" x14ac:dyDescent="0.25">
      <c r="A10" s="1" t="s">
        <v>74</v>
      </c>
      <c r="B10" s="145" t="s">
        <v>75</v>
      </c>
      <c r="C10" s="231">
        <v>0.63570000000000004</v>
      </c>
      <c r="D10" s="147">
        <v>2.9306994818653065E-2</v>
      </c>
      <c r="E10" s="231">
        <v>0.2379</v>
      </c>
      <c r="F10" s="147">
        <f t="shared" si="0"/>
        <v>-0.62576687116564422</v>
      </c>
      <c r="G10" s="231">
        <v>0.65049999999999997</v>
      </c>
      <c r="H10" s="147">
        <f t="shared" si="0"/>
        <v>1.7343421605716687</v>
      </c>
      <c r="I10" s="231">
        <v>0.76769999999999994</v>
      </c>
      <c r="J10" s="147">
        <f t="shared" si="0"/>
        <v>0.18016910069177561</v>
      </c>
      <c r="K10" s="231">
        <v>0.77560000000000007</v>
      </c>
      <c r="L10" s="147">
        <f t="shared" si="0"/>
        <v>1.0290478051322216E-2</v>
      </c>
      <c r="M10" s="231">
        <v>0.69579999999999997</v>
      </c>
      <c r="N10" s="147">
        <f t="shared" si="1"/>
        <v>-0.10288808664259941</v>
      </c>
    </row>
    <row r="11" spans="1:16" x14ac:dyDescent="0.25">
      <c r="A11" s="1" t="s">
        <v>76</v>
      </c>
      <c r="B11" s="145" t="s">
        <v>77</v>
      </c>
      <c r="C11" s="231">
        <v>0.2369</v>
      </c>
      <c r="D11" s="147">
        <v>-0.5898545706371191</v>
      </c>
      <c r="E11" s="231">
        <v>0.34399999999999997</v>
      </c>
      <c r="F11" s="147">
        <f t="shared" si="0"/>
        <v>0.45208948923596437</v>
      </c>
      <c r="G11" s="231">
        <v>0.65599999999999992</v>
      </c>
      <c r="H11" s="147">
        <f t="shared" si="0"/>
        <v>0.90697674418604635</v>
      </c>
      <c r="I11" s="231">
        <v>0.75919999999999999</v>
      </c>
      <c r="J11" s="147">
        <f t="shared" si="0"/>
        <v>0.15731707317073185</v>
      </c>
      <c r="K11" s="231">
        <v>0.73299999999999998</v>
      </c>
      <c r="L11" s="147">
        <f t="shared" si="0"/>
        <v>-3.4510010537407765E-2</v>
      </c>
      <c r="M11" s="231">
        <v>0.67559999999999998</v>
      </c>
      <c r="N11" s="147">
        <f t="shared" si="1"/>
        <v>-7.8308321964529304E-2</v>
      </c>
    </row>
    <row r="12" spans="1:16" x14ac:dyDescent="0.25">
      <c r="A12" s="1" t="s">
        <v>78</v>
      </c>
      <c r="B12" s="145" t="s">
        <v>79</v>
      </c>
      <c r="C12" s="231">
        <v>0</v>
      </c>
      <c r="D12" s="147">
        <v>-1</v>
      </c>
      <c r="E12" s="231">
        <v>0.29299999999999998</v>
      </c>
      <c r="F12" s="147" t="str">
        <f t="shared" si="0"/>
        <v>-</v>
      </c>
      <c r="G12" s="231">
        <v>0.61299999999999999</v>
      </c>
      <c r="H12" s="147">
        <f t="shared" si="0"/>
        <v>1.0921501706484644</v>
      </c>
      <c r="I12" s="231">
        <v>0.63869999999999993</v>
      </c>
      <c r="J12" s="147">
        <f t="shared" si="0"/>
        <v>4.1924959216965707E-2</v>
      </c>
      <c r="K12" s="231">
        <v>0.66559999999999997</v>
      </c>
      <c r="L12" s="147">
        <f t="shared" si="0"/>
        <v>4.2116799749491118E-2</v>
      </c>
      <c r="M12" s="231">
        <v>0.59329999999999994</v>
      </c>
      <c r="N12" s="147">
        <f t="shared" si="1"/>
        <v>-0.10862379807692313</v>
      </c>
    </row>
    <row r="13" spans="1:16" x14ac:dyDescent="0.25">
      <c r="A13" s="1" t="s">
        <v>80</v>
      </c>
      <c r="B13" s="145" t="s">
        <v>81</v>
      </c>
      <c r="C13" s="231">
        <v>0</v>
      </c>
      <c r="D13" s="147">
        <v>-1</v>
      </c>
      <c r="E13" s="231">
        <v>0.39149999999999996</v>
      </c>
      <c r="F13" s="147" t="str">
        <f t="shared" si="0"/>
        <v>-</v>
      </c>
      <c r="G13" s="231">
        <v>0.49070000000000003</v>
      </c>
      <c r="H13" s="147">
        <f t="shared" si="0"/>
        <v>0.25338441890166052</v>
      </c>
      <c r="I13" s="231">
        <v>0.62240000000000006</v>
      </c>
      <c r="J13" s="147">
        <f t="shared" si="0"/>
        <v>0.26839209292846955</v>
      </c>
      <c r="K13" s="231">
        <v>0.5998</v>
      </c>
      <c r="L13" s="147">
        <f t="shared" si="0"/>
        <v>-3.6311053984575903E-2</v>
      </c>
      <c r="M13" s="231">
        <v>0.64280000000000004</v>
      </c>
      <c r="N13" s="147">
        <f t="shared" si="1"/>
        <v>7.1690563521173756E-2</v>
      </c>
    </row>
    <row r="14" spans="1:16" x14ac:dyDescent="0.25">
      <c r="A14" s="1" t="s">
        <v>82</v>
      </c>
      <c r="B14" s="145" t="s">
        <v>83</v>
      </c>
      <c r="C14" s="231">
        <v>0</v>
      </c>
      <c r="D14" s="147">
        <v>-1</v>
      </c>
      <c r="E14" s="231">
        <v>0.39329999999999998</v>
      </c>
      <c r="F14" s="147" t="str">
        <f t="shared" si="0"/>
        <v>-</v>
      </c>
      <c r="G14" s="231">
        <v>0.56700000000000006</v>
      </c>
      <c r="H14" s="147">
        <f t="shared" si="0"/>
        <v>0.44164759725400482</v>
      </c>
      <c r="I14" s="231">
        <v>0.52149999999999996</v>
      </c>
      <c r="J14" s="147">
        <f t="shared" si="0"/>
        <v>-8.0246913580247048E-2</v>
      </c>
      <c r="K14" s="231">
        <v>0.501</v>
      </c>
      <c r="L14" s="147">
        <f t="shared" si="0"/>
        <v>-3.9309683604985546E-2</v>
      </c>
      <c r="M14" s="231">
        <v>0.57740000000000002</v>
      </c>
      <c r="N14" s="147">
        <f t="shared" si="1"/>
        <v>0.15249500998003995</v>
      </c>
    </row>
    <row r="15" spans="1:16" x14ac:dyDescent="0.25">
      <c r="A15" s="1" t="s">
        <v>84</v>
      </c>
      <c r="B15" s="145" t="s">
        <v>85</v>
      </c>
      <c r="C15" s="231">
        <v>0</v>
      </c>
      <c r="D15" s="147">
        <v>-1</v>
      </c>
      <c r="E15" s="231">
        <v>0.39350000000000002</v>
      </c>
      <c r="F15" s="147" t="str">
        <f t="shared" si="0"/>
        <v>-</v>
      </c>
      <c r="G15" s="231">
        <v>0.52110000000000001</v>
      </c>
      <c r="H15" s="147">
        <f t="shared" si="0"/>
        <v>0.32426937738246497</v>
      </c>
      <c r="I15" s="231">
        <v>0.46679999999999999</v>
      </c>
      <c r="J15" s="147">
        <f t="shared" si="0"/>
        <v>-0.10420264824409908</v>
      </c>
      <c r="K15" s="231">
        <v>0.48599999999999999</v>
      </c>
      <c r="L15" s="147">
        <f t="shared" si="0"/>
        <v>4.1131105398457546E-2</v>
      </c>
      <c r="M15" s="231">
        <v>0.47909999999999997</v>
      </c>
      <c r="N15" s="147">
        <f t="shared" si="1"/>
        <v>-1.4197530864197616E-2</v>
      </c>
    </row>
    <row r="16" spans="1:16" x14ac:dyDescent="0.25">
      <c r="A16" s="1" t="s">
        <v>86</v>
      </c>
      <c r="B16" s="145" t="s">
        <v>87</v>
      </c>
      <c r="C16" s="231">
        <v>0.76939999999999997</v>
      </c>
      <c r="D16" s="147">
        <v>0.51815311760063132</v>
      </c>
      <c r="E16" s="231">
        <v>0.44319999999999998</v>
      </c>
      <c r="F16" s="147">
        <f t="shared" si="0"/>
        <v>-0.42396672731998963</v>
      </c>
      <c r="G16" s="231">
        <v>0.49969999999999998</v>
      </c>
      <c r="H16" s="147">
        <f t="shared" si="0"/>
        <v>0.12748194945848379</v>
      </c>
      <c r="I16" s="231">
        <v>0.60020000000000007</v>
      </c>
      <c r="J16" s="147">
        <f t="shared" si="0"/>
        <v>0.20112067240344222</v>
      </c>
      <c r="K16" s="231">
        <v>0.44380000000000003</v>
      </c>
      <c r="L16" s="147">
        <f t="shared" si="0"/>
        <v>-0.26057980673108971</v>
      </c>
      <c r="M16" s="231">
        <v>0.56369999999999998</v>
      </c>
      <c r="N16" s="147">
        <f t="shared" si="1"/>
        <v>0.27016674177557443</v>
      </c>
    </row>
    <row r="17" spans="1:29" x14ac:dyDescent="0.25">
      <c r="A17" s="1" t="s">
        <v>88</v>
      </c>
      <c r="B17" s="145" t="s">
        <v>89</v>
      </c>
      <c r="C17" s="231">
        <v>0.43149999999999999</v>
      </c>
      <c r="D17" s="147">
        <v>-5.538528896672501E-2</v>
      </c>
      <c r="E17" s="231">
        <v>0.51200000000000001</v>
      </c>
      <c r="F17" s="147">
        <f t="shared" si="0"/>
        <v>0.18655851680185398</v>
      </c>
      <c r="G17" s="231">
        <v>0.5514</v>
      </c>
      <c r="H17" s="147">
        <f t="shared" si="0"/>
        <v>7.6953124999999956E-2</v>
      </c>
      <c r="I17" s="231">
        <v>0.53320000000000001</v>
      </c>
      <c r="J17" s="147">
        <f t="shared" si="0"/>
        <v>-3.3006891548784889E-2</v>
      </c>
      <c r="K17" s="231">
        <v>0.56189999999999996</v>
      </c>
      <c r="L17" s="147">
        <f t="shared" si="0"/>
        <v>5.382595648912214E-2</v>
      </c>
      <c r="M17" s="231">
        <v>0.54</v>
      </c>
      <c r="N17" s="147">
        <f t="shared" si="1"/>
        <v>-3.8974906567004641E-2</v>
      </c>
    </row>
    <row r="18" spans="1:29" x14ac:dyDescent="0.25">
      <c r="A18" s="1" t="s">
        <v>90</v>
      </c>
      <c r="B18" s="145" t="s">
        <v>91</v>
      </c>
      <c r="C18" s="231">
        <v>0.39939999999999998</v>
      </c>
      <c r="D18" s="147">
        <v>-9.4331065759637234E-2</v>
      </c>
      <c r="E18" s="231">
        <v>0.52229999999999999</v>
      </c>
      <c r="F18" s="147">
        <f t="shared" si="0"/>
        <v>0.30771156735102667</v>
      </c>
      <c r="G18" s="231">
        <v>0.56420000000000003</v>
      </c>
      <c r="H18" s="147">
        <f t="shared" si="0"/>
        <v>8.0222094581658077E-2</v>
      </c>
      <c r="I18" s="231">
        <v>0.53239999999999998</v>
      </c>
      <c r="J18" s="147">
        <f t="shared" si="0"/>
        <v>-5.6362991846862887E-2</v>
      </c>
      <c r="K18" s="231">
        <v>0.58409999999999995</v>
      </c>
      <c r="L18" s="147">
        <f t="shared" si="0"/>
        <v>9.710743801652888E-2</v>
      </c>
      <c r="M18" s="231">
        <v>0.69180000000000008</v>
      </c>
      <c r="N18" s="147">
        <f t="shared" si="1"/>
        <v>0.18438623523369313</v>
      </c>
      <c r="AB18" s="232"/>
    </row>
    <row r="19" spans="1:29" x14ac:dyDescent="0.25">
      <c r="A19" s="1" t="s">
        <v>92</v>
      </c>
      <c r="B19" s="145" t="s">
        <v>93</v>
      </c>
      <c r="C19" s="231">
        <v>0.40720000000000001</v>
      </c>
      <c r="D19" s="147">
        <v>-0.32893869479235327</v>
      </c>
      <c r="E19" s="231">
        <v>0.64989999999999992</v>
      </c>
      <c r="F19" s="147">
        <f t="shared" si="0"/>
        <v>0.59602161100196449</v>
      </c>
      <c r="G19" s="231">
        <v>0.65629999999999999</v>
      </c>
      <c r="H19" s="147">
        <f t="shared" si="0"/>
        <v>9.8476688721342853E-3</v>
      </c>
      <c r="I19" s="231">
        <v>0.65459999999999996</v>
      </c>
      <c r="J19" s="147">
        <f t="shared" si="0"/>
        <v>-2.5902788358982409E-3</v>
      </c>
      <c r="K19" s="231">
        <v>0.74159999999999993</v>
      </c>
      <c r="L19" s="147">
        <f t="shared" si="0"/>
        <v>0.13290559120073331</v>
      </c>
      <c r="M19" s="231"/>
      <c r="N19" s="147"/>
      <c r="AB19" s="232"/>
      <c r="AC19" s="232"/>
    </row>
    <row r="20" spans="1:29" x14ac:dyDescent="0.25">
      <c r="A20" s="1" t="s">
        <v>94</v>
      </c>
      <c r="B20" s="145" t="s">
        <v>95</v>
      </c>
      <c r="C20" s="231">
        <v>0.48200000000000004</v>
      </c>
      <c r="D20" s="147">
        <v>-0.10707669507224882</v>
      </c>
      <c r="E20" s="231">
        <v>0.57810000000000006</v>
      </c>
      <c r="F20" s="147">
        <f t="shared" si="0"/>
        <v>0.19937759336099581</v>
      </c>
      <c r="G20" s="231">
        <v>0.58939999999999992</v>
      </c>
      <c r="H20" s="147">
        <f t="shared" si="0"/>
        <v>1.954679121259284E-2</v>
      </c>
      <c r="I20" s="231">
        <v>0.56869999999999998</v>
      </c>
      <c r="J20" s="147">
        <f t="shared" si="0"/>
        <v>-3.5120461486257137E-2</v>
      </c>
      <c r="K20" s="231">
        <v>0.63840000000000008</v>
      </c>
      <c r="L20" s="147">
        <f t="shared" si="0"/>
        <v>0.12256022507473197</v>
      </c>
      <c r="M20" s="231"/>
      <c r="N20" s="147"/>
      <c r="O20" s="153"/>
    </row>
    <row r="21" spans="1:29" ht="15.75" x14ac:dyDescent="0.25">
      <c r="A21" s="1" t="s">
        <v>0</v>
      </c>
      <c r="B21" s="148" t="s">
        <v>32</v>
      </c>
      <c r="C21" s="233">
        <v>0.5147906295498732</v>
      </c>
      <c r="D21" s="150">
        <v>-1.5610313583804047E-2</v>
      </c>
      <c r="E21" s="233">
        <v>0.42945341263098274</v>
      </c>
      <c r="F21" s="150">
        <f t="shared" si="0"/>
        <v>-0.16577072701091766</v>
      </c>
      <c r="G21" s="233">
        <v>0.57741590694750078</v>
      </c>
      <c r="H21" s="150">
        <f t="shared" si="0"/>
        <v>0.34453677620128276</v>
      </c>
      <c r="I21" s="233">
        <v>0.61259601883208059</v>
      </c>
      <c r="J21" s="150">
        <f t="shared" si="0"/>
        <v>6.0926814556528042E-2</v>
      </c>
      <c r="K21" s="233">
        <v>0.6183064169082243</v>
      </c>
      <c r="L21" s="150">
        <f t="shared" si="0"/>
        <v>9.3216375892071213E-3</v>
      </c>
      <c r="M21" s="233"/>
      <c r="N21" s="150"/>
      <c r="O21" s="234"/>
    </row>
    <row r="22" spans="1:29" ht="6" customHeight="1" x14ac:dyDescent="0.25">
      <c r="O22" s="234"/>
    </row>
    <row r="23" spans="1:29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234"/>
    </row>
    <row r="24" spans="1:29" x14ac:dyDescent="0.25">
      <c r="C24" s="235"/>
      <c r="K24" s="235"/>
      <c r="M24" s="235"/>
      <c r="N24" s="147"/>
      <c r="O24" s="234"/>
    </row>
    <row r="26" spans="1:29" ht="21.75" customHeight="1" thickBot="1" x14ac:dyDescent="0.3">
      <c r="B26" s="12" t="s">
        <v>309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P26" s="1" t="s">
        <v>157</v>
      </c>
    </row>
    <row r="27" spans="1:29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P27" s="1" t="s">
        <v>158</v>
      </c>
    </row>
    <row r="28" spans="1:29" ht="22.5" thickTop="1" thickBot="1" x14ac:dyDescent="0.3">
      <c r="B28" s="137"/>
      <c r="C28" s="135" t="s">
        <v>62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29" ht="22.5" thickTop="1" thickBot="1" x14ac:dyDescent="0.3">
      <c r="B29" s="137"/>
      <c r="C29" s="156">
        <f>C$7</f>
        <v>2020</v>
      </c>
      <c r="D29" s="236"/>
      <c r="E29" s="156">
        <f>E$7</f>
        <v>2021</v>
      </c>
      <c r="F29" s="236"/>
      <c r="G29" s="156">
        <f>G$7</f>
        <v>2022</v>
      </c>
      <c r="H29" s="236"/>
      <c r="I29" s="156">
        <f>I$7</f>
        <v>2023</v>
      </c>
      <c r="J29" s="236"/>
      <c r="K29" s="156">
        <f>K$7</f>
        <v>2024</v>
      </c>
      <c r="L29" s="236"/>
      <c r="M29" s="237">
        <f>M$7</f>
        <v>2025</v>
      </c>
      <c r="N29" s="238"/>
    </row>
    <row r="30" spans="1:29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",RIGHT(E29,2),"/",RIGHT(C29,2))</f>
        <v>var 21/20</v>
      </c>
      <c r="G30" s="144" t="s">
        <v>71</v>
      </c>
      <c r="H30" s="143" t="str">
        <f>CONCATENATE("var ",RIGHT(G29,2),"/",RIGHT(E29,2))</f>
        <v>var 22/21</v>
      </c>
      <c r="I30" s="144" t="s">
        <v>71</v>
      </c>
      <c r="J30" s="143" t="str">
        <f>CONCATENATE("var ",RIGHT(I29,2),"/",RIGHT(G29,2))</f>
        <v>var 23/22</v>
      </c>
      <c r="K30" s="144" t="s">
        <v>71</v>
      </c>
      <c r="L30" s="143" t="str">
        <f>CONCATENATE("var ",RIGHT(K29,2),"/",RIGHT(I29,2))</f>
        <v>var 24/23</v>
      </c>
      <c r="M30" s="144" t="s">
        <v>71</v>
      </c>
      <c r="N30" s="143" t="str">
        <f>CONCATENATE("var ",RIGHT(M29,2),"/",RIGHT(K29,2))</f>
        <v>var 25/24</v>
      </c>
    </row>
    <row r="31" spans="1:29" x14ac:dyDescent="0.25">
      <c r="B31" s="145" t="s">
        <v>73</v>
      </c>
      <c r="C31" s="231">
        <v>0.56399999999999995</v>
      </c>
      <c r="D31" s="147"/>
      <c r="E31" s="231">
        <v>0.19170000000000001</v>
      </c>
      <c r="F31" s="147">
        <f t="shared" ref="F31:J43" si="2">IFERROR(E31/C31-1,"-")</f>
        <v>-0.66010638297872337</v>
      </c>
      <c r="G31" s="231">
        <v>0.58840000000000003</v>
      </c>
      <c r="H31" s="147">
        <f t="shared" si="2"/>
        <v>2.0693792383933229</v>
      </c>
      <c r="I31" s="231">
        <v>0.69830000000000003</v>
      </c>
      <c r="J31" s="147">
        <f t="shared" si="2"/>
        <v>0.18677770224337187</v>
      </c>
      <c r="K31" s="231">
        <v>0.69889999999999997</v>
      </c>
      <c r="L31" s="147">
        <f t="shared" ref="L31:L43" si="3">IFERROR(K31/I31-1,"-")</f>
        <v>8.5922955749673235E-4</v>
      </c>
      <c r="M31" s="231">
        <v>0.68330000000000002</v>
      </c>
      <c r="N31" s="147">
        <f t="shared" ref="N31:N40" si="4">IFERROR(M31/K31-1,"-")</f>
        <v>-2.2320789812562469E-2</v>
      </c>
    </row>
    <row r="32" spans="1:29" x14ac:dyDescent="0.25">
      <c r="B32" s="145" t="s">
        <v>75</v>
      </c>
      <c r="C32" s="231">
        <v>0.63570000000000004</v>
      </c>
      <c r="D32" s="147"/>
      <c r="E32" s="231">
        <v>0.2379</v>
      </c>
      <c r="F32" s="147">
        <f t="shared" si="2"/>
        <v>-0.62576687116564422</v>
      </c>
      <c r="G32" s="231">
        <v>0.65049999999999997</v>
      </c>
      <c r="H32" s="147">
        <f t="shared" si="2"/>
        <v>1.7343421605716687</v>
      </c>
      <c r="I32" s="231">
        <v>0.76769999999999994</v>
      </c>
      <c r="J32" s="147">
        <f t="shared" si="2"/>
        <v>0.18016910069177561</v>
      </c>
      <c r="K32" s="231">
        <v>0.80330000000000001</v>
      </c>
      <c r="L32" s="147">
        <f t="shared" si="3"/>
        <v>4.6372280838869351E-2</v>
      </c>
      <c r="M32" s="231">
        <v>0.69579999999999997</v>
      </c>
      <c r="N32" s="147">
        <f t="shared" si="4"/>
        <v>-0.13382298020664762</v>
      </c>
    </row>
    <row r="33" spans="2:16" x14ac:dyDescent="0.25">
      <c r="B33" s="145" t="s">
        <v>77</v>
      </c>
      <c r="C33" s="231">
        <v>0.2369</v>
      </c>
      <c r="D33" s="147"/>
      <c r="E33" s="231">
        <v>0.34399999999999997</v>
      </c>
      <c r="F33" s="147">
        <f t="shared" si="2"/>
        <v>0.45208948923596437</v>
      </c>
      <c r="G33" s="231">
        <v>0.65599999999999992</v>
      </c>
      <c r="H33" s="147">
        <f t="shared" si="2"/>
        <v>0.90697674418604635</v>
      </c>
      <c r="I33" s="231">
        <v>0.75919999999999999</v>
      </c>
      <c r="J33" s="147">
        <f t="shared" si="2"/>
        <v>0.15731707317073185</v>
      </c>
      <c r="K33" s="231">
        <v>0.73299999999999998</v>
      </c>
      <c r="L33" s="147">
        <f t="shared" si="3"/>
        <v>-3.4510010537407765E-2</v>
      </c>
      <c r="M33" s="231">
        <v>0.67559999999999998</v>
      </c>
      <c r="N33" s="147">
        <f t="shared" si="4"/>
        <v>-7.8308321964529304E-2</v>
      </c>
    </row>
    <row r="34" spans="2:16" x14ac:dyDescent="0.25">
      <c r="B34" s="145" t="s">
        <v>79</v>
      </c>
      <c r="C34" s="231">
        <v>0</v>
      </c>
      <c r="D34" s="147"/>
      <c r="E34" s="231">
        <v>0.29299999999999998</v>
      </c>
      <c r="F34" s="147" t="str">
        <f t="shared" si="2"/>
        <v>-</v>
      </c>
      <c r="G34" s="231">
        <v>0.61299999999999999</v>
      </c>
      <c r="H34" s="147">
        <f t="shared" si="2"/>
        <v>1.0921501706484644</v>
      </c>
      <c r="I34" s="231">
        <v>0.63869999999999993</v>
      </c>
      <c r="J34" s="147">
        <f t="shared" si="2"/>
        <v>4.1924959216965707E-2</v>
      </c>
      <c r="K34" s="231">
        <v>0.66559999999999997</v>
      </c>
      <c r="L34" s="147">
        <f t="shared" si="3"/>
        <v>4.2116799749491118E-2</v>
      </c>
      <c r="M34" s="231">
        <v>0.59329999999999994</v>
      </c>
      <c r="N34" s="147">
        <f t="shared" si="4"/>
        <v>-0.10862379807692313</v>
      </c>
    </row>
    <row r="35" spans="2:16" x14ac:dyDescent="0.25">
      <c r="B35" s="145" t="s">
        <v>81</v>
      </c>
      <c r="C35" s="231">
        <v>0</v>
      </c>
      <c r="D35" s="147"/>
      <c r="E35" s="231">
        <v>0.39149999999999996</v>
      </c>
      <c r="F35" s="147" t="str">
        <f t="shared" si="2"/>
        <v>-</v>
      </c>
      <c r="G35" s="231">
        <v>0.49070000000000003</v>
      </c>
      <c r="H35" s="147">
        <f t="shared" si="2"/>
        <v>0.25338441890166052</v>
      </c>
      <c r="I35" s="231">
        <v>0.62240000000000006</v>
      </c>
      <c r="J35" s="147">
        <f t="shared" si="2"/>
        <v>0.26839209292846955</v>
      </c>
      <c r="K35" s="231">
        <v>0.5998</v>
      </c>
      <c r="L35" s="147">
        <f t="shared" si="3"/>
        <v>-3.6311053984575903E-2</v>
      </c>
      <c r="M35" s="231">
        <v>0.64280000000000004</v>
      </c>
      <c r="N35" s="147">
        <f t="shared" si="4"/>
        <v>7.1690563521173756E-2</v>
      </c>
    </row>
    <row r="36" spans="2:16" x14ac:dyDescent="0.25">
      <c r="B36" s="145" t="s">
        <v>83</v>
      </c>
      <c r="C36" s="231">
        <v>0</v>
      </c>
      <c r="D36" s="147"/>
      <c r="E36" s="231">
        <v>0.39329999999999998</v>
      </c>
      <c r="F36" s="147" t="str">
        <f t="shared" si="2"/>
        <v>-</v>
      </c>
      <c r="G36" s="231">
        <v>0.56700000000000006</v>
      </c>
      <c r="H36" s="147">
        <f t="shared" si="2"/>
        <v>0.44164759725400482</v>
      </c>
      <c r="I36" s="231">
        <v>0.52149999999999996</v>
      </c>
      <c r="J36" s="147">
        <f t="shared" si="2"/>
        <v>-8.0246913580247048E-2</v>
      </c>
      <c r="K36" s="231">
        <v>0.501</v>
      </c>
      <c r="L36" s="147">
        <f t="shared" si="3"/>
        <v>-3.9309683604985546E-2</v>
      </c>
      <c r="M36" s="231">
        <v>0.57740000000000002</v>
      </c>
      <c r="N36" s="147">
        <f t="shared" si="4"/>
        <v>0.15249500998003995</v>
      </c>
    </row>
    <row r="37" spans="2:16" x14ac:dyDescent="0.25">
      <c r="B37" s="145" t="s">
        <v>85</v>
      </c>
      <c r="C37" s="231">
        <v>0</v>
      </c>
      <c r="D37" s="147"/>
      <c r="E37" s="231">
        <v>0.39350000000000002</v>
      </c>
      <c r="F37" s="147" t="str">
        <f t="shared" si="2"/>
        <v>-</v>
      </c>
      <c r="G37" s="231">
        <v>0.52110000000000001</v>
      </c>
      <c r="H37" s="147">
        <f t="shared" si="2"/>
        <v>0.32426937738246497</v>
      </c>
      <c r="I37" s="231">
        <v>0.46679999999999999</v>
      </c>
      <c r="J37" s="147">
        <f t="shared" si="2"/>
        <v>-0.10420264824409908</v>
      </c>
      <c r="K37" s="231">
        <v>0.48599999999999999</v>
      </c>
      <c r="L37" s="147">
        <f t="shared" si="3"/>
        <v>4.1131105398457546E-2</v>
      </c>
      <c r="M37" s="231">
        <v>0.47909999999999997</v>
      </c>
      <c r="N37" s="147">
        <f t="shared" si="4"/>
        <v>-1.4197530864197616E-2</v>
      </c>
    </row>
    <row r="38" spans="2:16" x14ac:dyDescent="0.25">
      <c r="B38" s="145" t="s">
        <v>87</v>
      </c>
      <c r="C38" s="231">
        <v>0.76939999999999997</v>
      </c>
      <c r="D38" s="147"/>
      <c r="E38" s="231">
        <v>0.44319999999999998</v>
      </c>
      <c r="F38" s="147">
        <f t="shared" si="2"/>
        <v>-0.42396672731998963</v>
      </c>
      <c r="G38" s="231">
        <v>0.49969999999999998</v>
      </c>
      <c r="H38" s="147">
        <f t="shared" si="2"/>
        <v>0.12748194945848379</v>
      </c>
      <c r="I38" s="231">
        <v>0.60020000000000007</v>
      </c>
      <c r="J38" s="147">
        <f t="shared" si="2"/>
        <v>0.20112067240344222</v>
      </c>
      <c r="K38" s="231">
        <v>0.44380000000000003</v>
      </c>
      <c r="L38" s="147">
        <f t="shared" si="3"/>
        <v>-0.26057980673108971</v>
      </c>
      <c r="M38" s="231">
        <v>0.56369999999999998</v>
      </c>
      <c r="N38" s="147">
        <f t="shared" si="4"/>
        <v>0.27016674177557443</v>
      </c>
    </row>
    <row r="39" spans="2:16" x14ac:dyDescent="0.25">
      <c r="B39" s="145" t="s">
        <v>89</v>
      </c>
      <c r="C39" s="231">
        <v>0.43149999999999999</v>
      </c>
      <c r="D39" s="147"/>
      <c r="E39" s="231">
        <v>0.51200000000000001</v>
      </c>
      <c r="F39" s="147">
        <f t="shared" si="2"/>
        <v>0.18655851680185398</v>
      </c>
      <c r="G39" s="231">
        <v>0.5514</v>
      </c>
      <c r="H39" s="147">
        <f t="shared" si="2"/>
        <v>7.6953124999999956E-2</v>
      </c>
      <c r="I39" s="231">
        <v>0.53320000000000001</v>
      </c>
      <c r="J39" s="147">
        <f t="shared" si="2"/>
        <v>-3.3006891548784889E-2</v>
      </c>
      <c r="K39" s="231">
        <v>0.56189999999999996</v>
      </c>
      <c r="L39" s="147">
        <f t="shared" si="3"/>
        <v>5.382595648912214E-2</v>
      </c>
      <c r="M39" s="231">
        <v>0.54</v>
      </c>
      <c r="N39" s="147">
        <f t="shared" si="4"/>
        <v>-3.8974906567004641E-2</v>
      </c>
    </row>
    <row r="40" spans="2:16" x14ac:dyDescent="0.25">
      <c r="B40" s="145" t="s">
        <v>91</v>
      </c>
      <c r="C40" s="231">
        <v>0.39939999999999998</v>
      </c>
      <c r="D40" s="147"/>
      <c r="E40" s="231">
        <v>0.52229999999999999</v>
      </c>
      <c r="F40" s="147">
        <f t="shared" si="2"/>
        <v>0.30771156735102667</v>
      </c>
      <c r="G40" s="231">
        <v>0.56420000000000003</v>
      </c>
      <c r="H40" s="147">
        <f t="shared" si="2"/>
        <v>8.0222094581658077E-2</v>
      </c>
      <c r="I40" s="231">
        <v>0.53239999999999998</v>
      </c>
      <c r="J40" s="147">
        <f t="shared" si="2"/>
        <v>-5.6362991846862887E-2</v>
      </c>
      <c r="K40" s="231">
        <v>0.58409999999999995</v>
      </c>
      <c r="L40" s="147">
        <f t="shared" si="3"/>
        <v>9.710743801652888E-2</v>
      </c>
      <c r="M40" s="231">
        <v>0.69180000000000008</v>
      </c>
      <c r="N40" s="147">
        <f t="shared" si="4"/>
        <v>0.18438623523369313</v>
      </c>
    </row>
    <row r="41" spans="2:16" x14ac:dyDescent="0.25">
      <c r="B41" s="145" t="s">
        <v>93</v>
      </c>
      <c r="C41" s="231">
        <v>0.40720000000000001</v>
      </c>
      <c r="D41" s="147"/>
      <c r="E41" s="231">
        <v>0.64989999999999992</v>
      </c>
      <c r="F41" s="147">
        <f t="shared" si="2"/>
        <v>0.59602161100196449</v>
      </c>
      <c r="G41" s="231">
        <v>0.65629999999999999</v>
      </c>
      <c r="H41" s="147">
        <f t="shared" si="2"/>
        <v>9.8476688721342853E-3</v>
      </c>
      <c r="I41" s="231">
        <v>0.65459999999999996</v>
      </c>
      <c r="J41" s="147">
        <f t="shared" si="2"/>
        <v>-2.5902788358982409E-3</v>
      </c>
      <c r="K41" s="231">
        <v>0.74159999999999993</v>
      </c>
      <c r="L41" s="147">
        <f t="shared" si="3"/>
        <v>0.13290559120073331</v>
      </c>
      <c r="M41" s="231"/>
      <c r="N41" s="147"/>
    </row>
    <row r="42" spans="2:16" x14ac:dyDescent="0.25">
      <c r="B42" s="145" t="s">
        <v>95</v>
      </c>
      <c r="C42" s="231">
        <v>0.48200000000000004</v>
      </c>
      <c r="D42" s="147"/>
      <c r="E42" s="231">
        <v>0.57810000000000006</v>
      </c>
      <c r="F42" s="147">
        <f t="shared" si="2"/>
        <v>0.19937759336099581</v>
      </c>
      <c r="G42" s="231">
        <v>0.58939999999999992</v>
      </c>
      <c r="H42" s="147">
        <f t="shared" si="2"/>
        <v>1.954679121259284E-2</v>
      </c>
      <c r="I42" s="231">
        <v>0.56869999999999998</v>
      </c>
      <c r="J42" s="147">
        <f t="shared" si="2"/>
        <v>-3.5120461486257137E-2</v>
      </c>
      <c r="K42" s="231">
        <v>0.63840000000000008</v>
      </c>
      <c r="L42" s="147">
        <f t="shared" si="3"/>
        <v>0.12256022507473197</v>
      </c>
      <c r="M42" s="231"/>
      <c r="N42" s="147"/>
    </row>
    <row r="43" spans="2:16" ht="15.75" x14ac:dyDescent="0.25">
      <c r="B43" s="148" t="s">
        <v>32</v>
      </c>
      <c r="C43" s="233">
        <v>0.5147906295498732</v>
      </c>
      <c r="D43" s="150"/>
      <c r="E43" s="239">
        <v>0.42945341263098274</v>
      </c>
      <c r="F43" s="150">
        <f t="shared" si="2"/>
        <v>-0.16577072701091766</v>
      </c>
      <c r="G43" s="239">
        <v>0.57741590694750078</v>
      </c>
      <c r="H43" s="150">
        <f t="shared" si="2"/>
        <v>0.34453677620128276</v>
      </c>
      <c r="I43" s="233">
        <v>0.61259601883208059</v>
      </c>
      <c r="J43" s="150">
        <f t="shared" si="2"/>
        <v>6.0926814556528042E-2</v>
      </c>
      <c r="K43" s="233">
        <v>0.6183064169082243</v>
      </c>
      <c r="L43" s="150">
        <f t="shared" si="3"/>
        <v>9.3216375892071213E-3</v>
      </c>
      <c r="M43" s="233"/>
      <c r="N43" s="150"/>
    </row>
    <row r="44" spans="2:16" ht="6" customHeight="1" x14ac:dyDescent="0.25"/>
    <row r="45" spans="2:16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6" x14ac:dyDescent="0.25">
      <c r="C46" s="235"/>
      <c r="K46" s="235"/>
      <c r="L46" s="235"/>
    </row>
    <row r="48" spans="2:16" ht="21.75" customHeight="1" thickBot="1" x14ac:dyDescent="0.3">
      <c r="B48" s="12" t="s">
        <v>310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P48" s="1" t="s">
        <v>159</v>
      </c>
    </row>
    <row r="49" spans="2:16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P49" s="1" t="s">
        <v>160</v>
      </c>
    </row>
    <row r="50" spans="2:16" ht="22.5" thickTop="1" thickBot="1" x14ac:dyDescent="0.3">
      <c r="B50" s="137"/>
      <c r="C50" s="135" t="s">
        <v>63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2:16" ht="22.5" thickTop="1" thickBot="1" x14ac:dyDescent="0.3">
      <c r="B51" s="137"/>
      <c r="C51" s="156">
        <f>C$7</f>
        <v>2020</v>
      </c>
      <c r="D51" s="236"/>
      <c r="E51" s="156">
        <f>E$7</f>
        <v>2021</v>
      </c>
      <c r="F51" s="236"/>
      <c r="G51" s="156">
        <f>G$7</f>
        <v>2022</v>
      </c>
      <c r="H51" s="236"/>
      <c r="I51" s="156">
        <f>I$7</f>
        <v>2023</v>
      </c>
      <c r="J51" s="236"/>
      <c r="K51" s="156">
        <f>K$7</f>
        <v>2024</v>
      </c>
      <c r="L51" s="236"/>
      <c r="M51" s="237">
        <f>M$7</f>
        <v>2025</v>
      </c>
      <c r="N51" s="238"/>
    </row>
    <row r="52" spans="2:16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",RIGHT(E51,2),"/",RIGHT(C51,2))</f>
        <v>var 21/20</v>
      </c>
      <c r="G52" s="144" t="s">
        <v>71</v>
      </c>
      <c r="H52" s="143" t="str">
        <f>CONCATENATE("var ",RIGHT(G51,2),"/",RIGHT(E51,2))</f>
        <v>var 22/21</v>
      </c>
      <c r="I52" s="144" t="s">
        <v>71</v>
      </c>
      <c r="J52" s="143" t="str">
        <f>CONCATENATE("var ",RIGHT(I51,2),"/",RIGHT(G51,2))</f>
        <v>var 23/22</v>
      </c>
      <c r="K52" s="144" t="s">
        <v>71</v>
      </c>
      <c r="L52" s="143" t="str">
        <f>CONCATENATE("var ",RIGHT(K51,2),"/",RIGHT(I51,2))</f>
        <v>var 24/23</v>
      </c>
      <c r="M52" s="144" t="s">
        <v>71</v>
      </c>
      <c r="N52" s="143" t="str">
        <f>CONCATENATE("var ",RIGHT(M51,2),"/",RIGHT(K51,2))</f>
        <v>var 25/24</v>
      </c>
    </row>
    <row r="53" spans="2:16" x14ac:dyDescent="0.25">
      <c r="B53" s="145" t="s">
        <v>73</v>
      </c>
      <c r="C53" s="231">
        <v>0.58719999999999994</v>
      </c>
      <c r="D53" s="147"/>
      <c r="E53" s="231" t="s">
        <v>233</v>
      </c>
      <c r="F53" s="147" t="str">
        <f t="shared" ref="F53:J65" si="5">IFERROR(E53/C53-1,"-")</f>
        <v>-</v>
      </c>
      <c r="G53" s="231" t="s">
        <v>233</v>
      </c>
      <c r="H53" s="147" t="str">
        <f t="shared" si="5"/>
        <v>-</v>
      </c>
      <c r="I53" s="231">
        <v>0.69739999999999991</v>
      </c>
      <c r="J53" s="147" t="str">
        <f t="shared" si="5"/>
        <v>-</v>
      </c>
      <c r="K53" s="231">
        <v>0.70389999999999997</v>
      </c>
      <c r="L53" s="147">
        <f t="shared" ref="L53:L65" si="6">IFERROR(K53/I53-1,"-")</f>
        <v>9.3203326641813078E-3</v>
      </c>
      <c r="M53" s="231">
        <v>0.68480000000000008</v>
      </c>
      <c r="N53" s="147">
        <f t="shared" ref="N53:N62" si="7">IFERROR(M53/K53-1,"-")</f>
        <v>-2.7134536155703826E-2</v>
      </c>
    </row>
    <row r="54" spans="2:16" x14ac:dyDescent="0.25">
      <c r="B54" s="145" t="s">
        <v>75</v>
      </c>
      <c r="C54" s="231">
        <v>0.62890000000000001</v>
      </c>
      <c r="D54" s="147"/>
      <c r="E54" s="231" t="s">
        <v>233</v>
      </c>
      <c r="F54" s="147" t="str">
        <f t="shared" si="5"/>
        <v>-</v>
      </c>
      <c r="G54" s="231" t="s">
        <v>233</v>
      </c>
      <c r="H54" s="147" t="str">
        <f t="shared" si="5"/>
        <v>-</v>
      </c>
      <c r="I54" s="231">
        <v>0.76840000000000008</v>
      </c>
      <c r="J54" s="147" t="str">
        <f t="shared" si="5"/>
        <v>-</v>
      </c>
      <c r="K54" s="231">
        <v>0.80169999999999997</v>
      </c>
      <c r="L54" s="147">
        <f t="shared" si="6"/>
        <v>4.3336803748047714E-2</v>
      </c>
      <c r="M54" s="231">
        <v>0.69189999999999996</v>
      </c>
      <c r="N54" s="147">
        <f t="shared" si="7"/>
        <v>-0.13695896220531367</v>
      </c>
    </row>
    <row r="55" spans="2:16" x14ac:dyDescent="0.25">
      <c r="B55" s="145" t="s">
        <v>77</v>
      </c>
      <c r="C55" s="231">
        <v>0.23670000000000002</v>
      </c>
      <c r="D55" s="147"/>
      <c r="E55" s="231" t="s">
        <v>233</v>
      </c>
      <c r="F55" s="147" t="str">
        <f t="shared" si="5"/>
        <v>-</v>
      </c>
      <c r="G55" s="231" t="s">
        <v>233</v>
      </c>
      <c r="H55" s="147" t="str">
        <f t="shared" si="5"/>
        <v>-</v>
      </c>
      <c r="I55" s="231">
        <v>0.76249999999999996</v>
      </c>
      <c r="J55" s="147" t="str">
        <f t="shared" si="5"/>
        <v>-</v>
      </c>
      <c r="K55" s="231">
        <v>0.73939999999999995</v>
      </c>
      <c r="L55" s="147">
        <f t="shared" si="6"/>
        <v>-3.0295081967213089E-2</v>
      </c>
      <c r="M55" s="231">
        <v>0.67420000000000002</v>
      </c>
      <c r="N55" s="147">
        <f t="shared" si="7"/>
        <v>-8.8179605085204171E-2</v>
      </c>
    </row>
    <row r="56" spans="2:16" x14ac:dyDescent="0.25">
      <c r="B56" s="145" t="s">
        <v>79</v>
      </c>
      <c r="C56" s="231">
        <v>0</v>
      </c>
      <c r="D56" s="147"/>
      <c r="E56" s="231" t="s">
        <v>233</v>
      </c>
      <c r="F56" s="147" t="str">
        <f t="shared" si="5"/>
        <v>-</v>
      </c>
      <c r="G56" s="231" t="s">
        <v>233</v>
      </c>
      <c r="H56" s="147" t="str">
        <f t="shared" si="5"/>
        <v>-</v>
      </c>
      <c r="I56" s="231">
        <v>0.63890000000000002</v>
      </c>
      <c r="J56" s="147" t="str">
        <f t="shared" si="5"/>
        <v>-</v>
      </c>
      <c r="K56" s="231">
        <v>0.68159999999999998</v>
      </c>
      <c r="L56" s="147">
        <f t="shared" si="6"/>
        <v>6.6833620284864503E-2</v>
      </c>
      <c r="M56" s="231">
        <v>0.59670000000000001</v>
      </c>
      <c r="N56" s="147">
        <f t="shared" si="7"/>
        <v>-0.12455985915492951</v>
      </c>
    </row>
    <row r="57" spans="2:16" x14ac:dyDescent="0.25">
      <c r="B57" s="145" t="s">
        <v>81</v>
      </c>
      <c r="C57" s="231">
        <v>0</v>
      </c>
      <c r="D57" s="147"/>
      <c r="E57" s="231" t="s">
        <v>233</v>
      </c>
      <c r="F57" s="147" t="str">
        <f t="shared" si="5"/>
        <v>-</v>
      </c>
      <c r="G57" s="231" t="s">
        <v>233</v>
      </c>
      <c r="H57" s="147" t="str">
        <f t="shared" si="5"/>
        <v>-</v>
      </c>
      <c r="I57" s="231">
        <v>0.63979999999999992</v>
      </c>
      <c r="J57" s="147" t="str">
        <f t="shared" si="5"/>
        <v>-</v>
      </c>
      <c r="K57" s="231">
        <v>0.61899999999999999</v>
      </c>
      <c r="L57" s="147">
        <f t="shared" si="6"/>
        <v>-3.2510159424820162E-2</v>
      </c>
      <c r="M57" s="231">
        <v>0.64370000000000005</v>
      </c>
      <c r="N57" s="147">
        <f t="shared" si="7"/>
        <v>3.9903069466882268E-2</v>
      </c>
    </row>
    <row r="58" spans="2:16" x14ac:dyDescent="0.25">
      <c r="B58" s="145" t="s">
        <v>83</v>
      </c>
      <c r="C58" s="231">
        <v>0</v>
      </c>
      <c r="D58" s="147"/>
      <c r="E58" s="231" t="s">
        <v>233</v>
      </c>
      <c r="F58" s="147" t="str">
        <f t="shared" si="5"/>
        <v>-</v>
      </c>
      <c r="G58" s="231" t="s">
        <v>233</v>
      </c>
      <c r="H58" s="147" t="str">
        <f t="shared" si="5"/>
        <v>-</v>
      </c>
      <c r="I58" s="231">
        <v>0.52880000000000005</v>
      </c>
      <c r="J58" s="147" t="str">
        <f t="shared" si="5"/>
        <v>-</v>
      </c>
      <c r="K58" s="231">
        <v>0.50340000000000007</v>
      </c>
      <c r="L58" s="147">
        <f t="shared" si="6"/>
        <v>-4.8033282904689778E-2</v>
      </c>
      <c r="M58" s="231">
        <v>0.59040000000000004</v>
      </c>
      <c r="N58" s="147">
        <f t="shared" si="7"/>
        <v>0.17282479141835516</v>
      </c>
    </row>
    <row r="59" spans="2:16" x14ac:dyDescent="0.25">
      <c r="B59" s="145" t="s">
        <v>85</v>
      </c>
      <c r="C59" s="231">
        <v>0</v>
      </c>
      <c r="D59" s="147"/>
      <c r="E59" s="231" t="s">
        <v>233</v>
      </c>
      <c r="F59" s="147" t="str">
        <f t="shared" si="5"/>
        <v>-</v>
      </c>
      <c r="G59" s="231" t="s">
        <v>233</v>
      </c>
      <c r="H59" s="147" t="str">
        <f t="shared" si="5"/>
        <v>-</v>
      </c>
      <c r="I59" s="231">
        <v>0</v>
      </c>
      <c r="J59" s="147" t="str">
        <f t="shared" si="5"/>
        <v>-</v>
      </c>
      <c r="K59" s="231">
        <v>0.4763</v>
      </c>
      <c r="L59" s="147" t="str">
        <f t="shared" si="6"/>
        <v>-</v>
      </c>
      <c r="M59" s="231">
        <v>0.47960000000000003</v>
      </c>
      <c r="N59" s="147">
        <f t="shared" si="7"/>
        <v>6.9284064665127154E-3</v>
      </c>
    </row>
    <row r="60" spans="2:16" x14ac:dyDescent="0.25">
      <c r="B60" s="145" t="s">
        <v>87</v>
      </c>
      <c r="C60" s="231">
        <v>0</v>
      </c>
      <c r="D60" s="147"/>
      <c r="E60" s="231" t="s">
        <v>233</v>
      </c>
      <c r="F60" s="147" t="str">
        <f t="shared" si="5"/>
        <v>-</v>
      </c>
      <c r="G60" s="231" t="s">
        <v>233</v>
      </c>
      <c r="H60" s="147" t="str">
        <f t="shared" si="5"/>
        <v>-</v>
      </c>
      <c r="I60" s="231">
        <v>0</v>
      </c>
      <c r="J60" s="147" t="str">
        <f t="shared" si="5"/>
        <v>-</v>
      </c>
      <c r="K60" s="231">
        <v>0.47450000000000003</v>
      </c>
      <c r="L60" s="147" t="str">
        <f t="shared" si="6"/>
        <v>-</v>
      </c>
      <c r="M60" s="231">
        <v>0.60199999999999998</v>
      </c>
      <c r="N60" s="147">
        <f t="shared" si="7"/>
        <v>0.26870389884088497</v>
      </c>
    </row>
    <row r="61" spans="2:16" x14ac:dyDescent="0.25">
      <c r="B61" s="145" t="s">
        <v>89</v>
      </c>
      <c r="C61" s="231">
        <v>0</v>
      </c>
      <c r="D61" s="147"/>
      <c r="E61" s="231" t="s">
        <v>233</v>
      </c>
      <c r="F61" s="147" t="str">
        <f t="shared" si="5"/>
        <v>-</v>
      </c>
      <c r="G61" s="231" t="s">
        <v>233</v>
      </c>
      <c r="H61" s="147" t="str">
        <f t="shared" si="5"/>
        <v>-</v>
      </c>
      <c r="I61" s="231">
        <v>0.53720000000000001</v>
      </c>
      <c r="J61" s="147" t="str">
        <f t="shared" si="5"/>
        <v>-</v>
      </c>
      <c r="K61" s="231">
        <v>0.56759999999999999</v>
      </c>
      <c r="L61" s="147">
        <f t="shared" si="6"/>
        <v>5.6589724497393856E-2</v>
      </c>
      <c r="M61" s="231">
        <v>0.54079999999999995</v>
      </c>
      <c r="N61" s="147">
        <f t="shared" si="7"/>
        <v>-4.7216349541930991E-2</v>
      </c>
    </row>
    <row r="62" spans="2:16" x14ac:dyDescent="0.25">
      <c r="B62" s="145" t="s">
        <v>91</v>
      </c>
      <c r="C62" s="231">
        <v>0</v>
      </c>
      <c r="D62" s="147"/>
      <c r="E62" s="231" t="s">
        <v>233</v>
      </c>
      <c r="F62" s="147" t="str">
        <f t="shared" si="5"/>
        <v>-</v>
      </c>
      <c r="G62" s="231" t="s">
        <v>233</v>
      </c>
      <c r="H62" s="147" t="str">
        <f t="shared" si="5"/>
        <v>-</v>
      </c>
      <c r="I62" s="231">
        <v>0.52969999999999995</v>
      </c>
      <c r="J62" s="147" t="str">
        <f t="shared" si="5"/>
        <v>-</v>
      </c>
      <c r="K62" s="231">
        <v>0.58560000000000001</v>
      </c>
      <c r="L62" s="147">
        <f t="shared" si="6"/>
        <v>0.10553143288653977</v>
      </c>
      <c r="M62" s="231">
        <v>0.69129999999999991</v>
      </c>
      <c r="N62" s="147">
        <f t="shared" si="7"/>
        <v>0.18049863387978116</v>
      </c>
    </row>
    <row r="63" spans="2:16" x14ac:dyDescent="0.25">
      <c r="B63" s="145" t="s">
        <v>93</v>
      </c>
      <c r="C63" s="231">
        <v>0</v>
      </c>
      <c r="D63" s="147"/>
      <c r="E63" s="231" t="s">
        <v>233</v>
      </c>
      <c r="F63" s="147" t="str">
        <f t="shared" si="5"/>
        <v>-</v>
      </c>
      <c r="G63" s="231" t="s">
        <v>233</v>
      </c>
      <c r="H63" s="147" t="str">
        <f t="shared" si="5"/>
        <v>-</v>
      </c>
      <c r="I63" s="231">
        <v>0.65010000000000001</v>
      </c>
      <c r="J63" s="147" t="str">
        <f t="shared" si="5"/>
        <v>-</v>
      </c>
      <c r="K63" s="231">
        <v>0.74099999999999999</v>
      </c>
      <c r="L63" s="147">
        <f t="shared" si="6"/>
        <v>0.13982464236271341</v>
      </c>
      <c r="M63" s="231"/>
      <c r="N63" s="147"/>
    </row>
    <row r="64" spans="2:16" x14ac:dyDescent="0.25">
      <c r="B64" s="145" t="s">
        <v>95</v>
      </c>
      <c r="C64" s="231">
        <v>0</v>
      </c>
      <c r="D64" s="147"/>
      <c r="E64" s="231" t="s">
        <v>233</v>
      </c>
      <c r="F64" s="147" t="str">
        <f t="shared" si="5"/>
        <v>-</v>
      </c>
      <c r="G64" s="231" t="s">
        <v>233</v>
      </c>
      <c r="H64" s="147" t="str">
        <f t="shared" si="5"/>
        <v>-</v>
      </c>
      <c r="I64" s="231">
        <v>0.55459999999999998</v>
      </c>
      <c r="J64" s="147" t="str">
        <f t="shared" si="5"/>
        <v>-</v>
      </c>
      <c r="K64" s="231">
        <v>0.62590000000000001</v>
      </c>
      <c r="L64" s="147">
        <f t="shared" si="6"/>
        <v>0.12856112513523277</v>
      </c>
      <c r="M64" s="231"/>
      <c r="N64" s="147"/>
    </row>
    <row r="65" spans="2:16" ht="15.75" x14ac:dyDescent="0.25">
      <c r="B65" s="148" t="s">
        <v>32</v>
      </c>
      <c r="C65" s="239">
        <v>0</v>
      </c>
      <c r="D65" s="240"/>
      <c r="E65" s="241" t="s">
        <v>233</v>
      </c>
      <c r="F65" s="240" t="str">
        <f t="shared" si="5"/>
        <v>-</v>
      </c>
      <c r="G65" s="241">
        <v>0.77389090909090907</v>
      </c>
      <c r="H65" s="240" t="str">
        <f t="shared" si="5"/>
        <v>-</v>
      </c>
      <c r="I65" s="241">
        <v>0.73955445544554455</v>
      </c>
      <c r="J65" s="240">
        <f t="shared" si="5"/>
        <v>-4.4368596713068587E-2</v>
      </c>
      <c r="K65" s="241">
        <v>0.62356102003642988</v>
      </c>
      <c r="L65" s="240">
        <f t="shared" si="6"/>
        <v>-0.15684231844595464</v>
      </c>
      <c r="M65" s="241"/>
      <c r="N65" s="240"/>
    </row>
    <row r="66" spans="2:16" ht="6" customHeight="1" x14ac:dyDescent="0.25"/>
    <row r="67" spans="2:16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2:16" x14ac:dyDescent="0.25">
      <c r="C68" s="235"/>
      <c r="K68" s="235"/>
      <c r="L68" s="235"/>
    </row>
    <row r="70" spans="2:16" ht="21.75" customHeight="1" thickBot="1" x14ac:dyDescent="0.3">
      <c r="B70" s="12" t="s">
        <v>311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P70" s="1" t="s">
        <v>161</v>
      </c>
    </row>
    <row r="71" spans="2:16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P71" s="1" t="s">
        <v>162</v>
      </c>
    </row>
    <row r="72" spans="2:16" ht="22.5" thickTop="1" thickBot="1" x14ac:dyDescent="0.3">
      <c r="B72" s="137"/>
      <c r="C72" s="135" t="s">
        <v>64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2:16" ht="22.5" thickTop="1" thickBot="1" x14ac:dyDescent="0.3">
      <c r="B73" s="137"/>
      <c r="C73" s="156">
        <f>C$7</f>
        <v>2020</v>
      </c>
      <c r="D73" s="236"/>
      <c r="E73" s="156">
        <f>E$7</f>
        <v>2021</v>
      </c>
      <c r="F73" s="236"/>
      <c r="G73" s="156">
        <f>G$7</f>
        <v>2022</v>
      </c>
      <c r="H73" s="236"/>
      <c r="I73" s="156">
        <f>I$7</f>
        <v>2023</v>
      </c>
      <c r="J73" s="236"/>
      <c r="K73" s="156">
        <f>K$7</f>
        <v>2024</v>
      </c>
      <c r="L73" s="236"/>
      <c r="M73" s="237">
        <f>M$7</f>
        <v>2025</v>
      </c>
      <c r="N73" s="238"/>
    </row>
    <row r="74" spans="2:16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",RIGHT(E73,2),"/",RIGHT(C73,2))</f>
        <v>var 21/20</v>
      </c>
      <c r="G74" s="144" t="s">
        <v>71</v>
      </c>
      <c r="H74" s="143" t="str">
        <f>CONCATENATE("var ",RIGHT(G73,2),"/",RIGHT(E73,2))</f>
        <v>var 22/21</v>
      </c>
      <c r="I74" s="144" t="s">
        <v>71</v>
      </c>
      <c r="J74" s="143" t="str">
        <f>CONCATENATE("var ",RIGHT(I73,2),"/",RIGHT(G73,2))</f>
        <v>var 23/22</v>
      </c>
      <c r="K74" s="144" t="s">
        <v>71</v>
      </c>
      <c r="L74" s="143" t="str">
        <f>CONCATENATE("var ",RIGHT(K73,2),"/",RIGHT(I73,2))</f>
        <v>var 24/23</v>
      </c>
      <c r="M74" s="144" t="s">
        <v>71</v>
      </c>
      <c r="N74" s="143" t="str">
        <f>CONCATENATE("var ",RIGHT(M73,2),"/",RIGHT(K73,2))</f>
        <v>var 25/24</v>
      </c>
    </row>
    <row r="75" spans="2:16" x14ac:dyDescent="0.25">
      <c r="B75" s="145" t="s">
        <v>73</v>
      </c>
      <c r="C75" s="231">
        <v>0.47310000000000002</v>
      </c>
      <c r="D75" s="147"/>
      <c r="E75" s="231" t="s">
        <v>233</v>
      </c>
      <c r="F75" s="147" t="str">
        <f t="shared" ref="F75:J87" si="8">IFERROR(E75/C75-1,"-")</f>
        <v>-</v>
      </c>
      <c r="G75" s="231" t="s">
        <v>233</v>
      </c>
      <c r="H75" s="147" t="str">
        <f t="shared" si="8"/>
        <v>-</v>
      </c>
      <c r="I75" s="231">
        <v>0.70709999999999995</v>
      </c>
      <c r="J75" s="147" t="str">
        <f t="shared" si="8"/>
        <v>-</v>
      </c>
      <c r="K75" s="231">
        <v>0.65749999999999997</v>
      </c>
      <c r="L75" s="147">
        <f t="shared" ref="L75:L87" si="9">IFERROR(K75/I75-1,"-")</f>
        <v>-7.0145665393862244E-2</v>
      </c>
      <c r="M75" s="231">
        <v>0.67030000000000001</v>
      </c>
      <c r="N75" s="147">
        <f t="shared" ref="N75:N84" si="10">IFERROR(M75/K75-1,"-")</f>
        <v>1.9467680608365123E-2</v>
      </c>
    </row>
    <row r="76" spans="2:16" x14ac:dyDescent="0.25">
      <c r="B76" s="145" t="s">
        <v>75</v>
      </c>
      <c r="C76" s="231">
        <v>0.66220000000000001</v>
      </c>
      <c r="D76" s="147"/>
      <c r="E76" s="231" t="s">
        <v>233</v>
      </c>
      <c r="F76" s="147" t="str">
        <f t="shared" si="8"/>
        <v>-</v>
      </c>
      <c r="G76" s="231" t="s">
        <v>233</v>
      </c>
      <c r="H76" s="147" t="str">
        <f t="shared" si="8"/>
        <v>-</v>
      </c>
      <c r="I76" s="231">
        <v>0.76080000000000003</v>
      </c>
      <c r="J76" s="147" t="str">
        <f t="shared" si="8"/>
        <v>-</v>
      </c>
      <c r="K76" s="231">
        <v>0.81700000000000006</v>
      </c>
      <c r="L76" s="147">
        <f t="shared" si="9"/>
        <v>7.3869610935856977E-2</v>
      </c>
      <c r="M76" s="231">
        <v>0.72750000000000004</v>
      </c>
      <c r="N76" s="147">
        <f t="shared" si="10"/>
        <v>-0.109547123623011</v>
      </c>
    </row>
    <row r="77" spans="2:16" x14ac:dyDescent="0.25">
      <c r="B77" s="145" t="s">
        <v>77</v>
      </c>
      <c r="C77" s="231">
        <v>0.2379</v>
      </c>
      <c r="D77" s="147"/>
      <c r="E77" s="231" t="s">
        <v>233</v>
      </c>
      <c r="F77" s="147" t="str">
        <f t="shared" si="8"/>
        <v>-</v>
      </c>
      <c r="G77" s="231" t="s">
        <v>233</v>
      </c>
      <c r="H77" s="147" t="str">
        <f t="shared" si="8"/>
        <v>-</v>
      </c>
      <c r="I77" s="231">
        <v>0.72709999999999997</v>
      </c>
      <c r="J77" s="147" t="str">
        <f t="shared" si="8"/>
        <v>-</v>
      </c>
      <c r="K77" s="231">
        <v>0.68010000000000004</v>
      </c>
      <c r="L77" s="147">
        <f t="shared" si="9"/>
        <v>-6.4640352083619734E-2</v>
      </c>
      <c r="M77" s="231">
        <v>0.68629999999999991</v>
      </c>
      <c r="N77" s="147">
        <f t="shared" si="10"/>
        <v>9.1163064255255222E-3</v>
      </c>
    </row>
    <row r="78" spans="2:16" x14ac:dyDescent="0.25">
      <c r="B78" s="145" t="s">
        <v>79</v>
      </c>
      <c r="C78" s="231">
        <v>0</v>
      </c>
      <c r="D78" s="147"/>
      <c r="E78" s="231" t="s">
        <v>233</v>
      </c>
      <c r="F78" s="147" t="str">
        <f t="shared" si="8"/>
        <v>-</v>
      </c>
      <c r="G78" s="231" t="s">
        <v>233</v>
      </c>
      <c r="H78" s="147" t="str">
        <f t="shared" si="8"/>
        <v>-</v>
      </c>
      <c r="I78" s="231">
        <v>0.63600000000000001</v>
      </c>
      <c r="J78" s="147" t="str">
        <f t="shared" si="8"/>
        <v>-</v>
      </c>
      <c r="K78" s="231">
        <v>0.53420000000000001</v>
      </c>
      <c r="L78" s="147">
        <f t="shared" si="9"/>
        <v>-0.16006289308176103</v>
      </c>
      <c r="M78" s="231">
        <v>0.56530000000000002</v>
      </c>
      <c r="N78" s="147">
        <f t="shared" si="10"/>
        <v>5.8217895919131513E-2</v>
      </c>
    </row>
    <row r="79" spans="2:16" x14ac:dyDescent="0.25">
      <c r="B79" s="145" t="s">
        <v>81</v>
      </c>
      <c r="C79" s="231">
        <v>0</v>
      </c>
      <c r="D79" s="147"/>
      <c r="E79" s="231" t="s">
        <v>233</v>
      </c>
      <c r="F79" s="147" t="str">
        <f t="shared" si="8"/>
        <v>-</v>
      </c>
      <c r="G79" s="231" t="s">
        <v>233</v>
      </c>
      <c r="H79" s="147" t="str">
        <f t="shared" si="8"/>
        <v>-</v>
      </c>
      <c r="I79" s="231">
        <v>0.45669999999999999</v>
      </c>
      <c r="J79" s="147" t="str">
        <f t="shared" si="8"/>
        <v>-</v>
      </c>
      <c r="K79" s="231">
        <v>0.44140000000000001</v>
      </c>
      <c r="L79" s="147">
        <f t="shared" si="9"/>
        <v>-3.3501204291657483E-2</v>
      </c>
      <c r="M79" s="231">
        <v>0.63539999999999996</v>
      </c>
      <c r="N79" s="147">
        <f t="shared" si="10"/>
        <v>0.43951064793837769</v>
      </c>
    </row>
    <row r="80" spans="2:16" x14ac:dyDescent="0.25">
      <c r="B80" s="145" t="s">
        <v>83</v>
      </c>
      <c r="C80" s="231">
        <v>0</v>
      </c>
      <c r="D80" s="147"/>
      <c r="E80" s="231" t="s">
        <v>233</v>
      </c>
      <c r="F80" s="147" t="str">
        <f t="shared" si="8"/>
        <v>-</v>
      </c>
      <c r="G80" s="231" t="s">
        <v>233</v>
      </c>
      <c r="H80" s="147" t="str">
        <f t="shared" si="8"/>
        <v>-</v>
      </c>
      <c r="I80" s="231">
        <v>0.45240000000000002</v>
      </c>
      <c r="J80" s="147" t="str">
        <f t="shared" si="8"/>
        <v>-</v>
      </c>
      <c r="K80" s="231">
        <v>0.48080000000000001</v>
      </c>
      <c r="L80" s="147">
        <f t="shared" si="9"/>
        <v>6.2776304155614415E-2</v>
      </c>
      <c r="M80" s="231">
        <v>0.4703</v>
      </c>
      <c r="N80" s="147">
        <f t="shared" si="10"/>
        <v>-2.1838602329450896E-2</v>
      </c>
    </row>
    <row r="81" spans="2:16" x14ac:dyDescent="0.25">
      <c r="B81" s="145" t="s">
        <v>85</v>
      </c>
      <c r="C81" s="231">
        <v>0</v>
      </c>
      <c r="D81" s="147"/>
      <c r="E81" s="231" t="s">
        <v>233</v>
      </c>
      <c r="F81" s="147" t="str">
        <f t="shared" si="8"/>
        <v>-</v>
      </c>
      <c r="G81" s="231" t="s">
        <v>233</v>
      </c>
      <c r="H81" s="147" t="str">
        <f t="shared" si="8"/>
        <v>-</v>
      </c>
      <c r="I81" s="231">
        <v>0</v>
      </c>
      <c r="J81" s="147" t="str">
        <f t="shared" si="8"/>
        <v>-</v>
      </c>
      <c r="K81" s="231">
        <v>0.56559999999999999</v>
      </c>
      <c r="L81" s="147" t="str">
        <f t="shared" si="9"/>
        <v>-</v>
      </c>
      <c r="M81" s="231">
        <v>0.47460000000000002</v>
      </c>
      <c r="N81" s="147">
        <f t="shared" si="10"/>
        <v>-0.16089108910891081</v>
      </c>
    </row>
    <row r="82" spans="2:16" x14ac:dyDescent="0.25">
      <c r="B82" s="145" t="s">
        <v>87</v>
      </c>
      <c r="C82" s="231">
        <v>0</v>
      </c>
      <c r="D82" s="147"/>
      <c r="E82" s="231" t="s">
        <v>233</v>
      </c>
      <c r="F82" s="147" t="str">
        <f t="shared" si="8"/>
        <v>-</v>
      </c>
      <c r="G82" s="231" t="s">
        <v>233</v>
      </c>
      <c r="H82" s="147" t="str">
        <f t="shared" si="8"/>
        <v>-</v>
      </c>
      <c r="I82" s="231">
        <v>0</v>
      </c>
      <c r="J82" s="147" t="str">
        <f t="shared" si="8"/>
        <v>-</v>
      </c>
      <c r="K82" s="231">
        <v>0.1913</v>
      </c>
      <c r="L82" s="147" t="str">
        <f t="shared" si="9"/>
        <v>-</v>
      </c>
      <c r="M82" s="231">
        <v>0.24879999999999999</v>
      </c>
      <c r="N82" s="147">
        <f t="shared" si="10"/>
        <v>0.30057501306847878</v>
      </c>
    </row>
    <row r="83" spans="2:16" x14ac:dyDescent="0.25">
      <c r="B83" s="145" t="s">
        <v>89</v>
      </c>
      <c r="C83" s="231">
        <v>0</v>
      </c>
      <c r="D83" s="147"/>
      <c r="E83" s="231" t="s">
        <v>233</v>
      </c>
      <c r="F83" s="147" t="str">
        <f t="shared" si="8"/>
        <v>-</v>
      </c>
      <c r="G83" s="231" t="s">
        <v>233</v>
      </c>
      <c r="H83" s="147" t="str">
        <f t="shared" si="8"/>
        <v>-</v>
      </c>
      <c r="I83" s="231">
        <v>0.49520000000000003</v>
      </c>
      <c r="J83" s="147" t="str">
        <f t="shared" si="8"/>
        <v>-</v>
      </c>
      <c r="K83" s="231">
        <v>0.5151</v>
      </c>
      <c r="L83" s="147">
        <f t="shared" si="9"/>
        <v>4.0185783521809348E-2</v>
      </c>
      <c r="M83" s="231">
        <v>0.53290000000000004</v>
      </c>
      <c r="N83" s="147">
        <f t="shared" si="10"/>
        <v>3.4556396816152191E-2</v>
      </c>
    </row>
    <row r="84" spans="2:16" x14ac:dyDescent="0.25">
      <c r="B84" s="145" t="s">
        <v>91</v>
      </c>
      <c r="C84" s="231">
        <v>0</v>
      </c>
      <c r="D84" s="147"/>
      <c r="E84" s="231" t="s">
        <v>233</v>
      </c>
      <c r="F84" s="147" t="str">
        <f t="shared" si="8"/>
        <v>-</v>
      </c>
      <c r="G84" s="231" t="s">
        <v>233</v>
      </c>
      <c r="H84" s="147" t="str">
        <f t="shared" si="8"/>
        <v>-</v>
      </c>
      <c r="I84" s="231">
        <v>0.55409999999999993</v>
      </c>
      <c r="J84" s="147" t="str">
        <f t="shared" si="8"/>
        <v>-</v>
      </c>
      <c r="K84" s="231">
        <v>0.57179999999999997</v>
      </c>
      <c r="L84" s="147">
        <f t="shared" si="9"/>
        <v>3.1943692474282637E-2</v>
      </c>
      <c r="M84" s="231">
        <v>0.69599999999999995</v>
      </c>
      <c r="N84" s="147">
        <f t="shared" si="10"/>
        <v>0.21720881427072403</v>
      </c>
    </row>
    <row r="85" spans="2:16" x14ac:dyDescent="0.25">
      <c r="B85" s="145" t="s">
        <v>93</v>
      </c>
      <c r="C85" s="231">
        <v>0</v>
      </c>
      <c r="D85" s="147"/>
      <c r="E85" s="231" t="s">
        <v>233</v>
      </c>
      <c r="F85" s="147" t="str">
        <f t="shared" si="8"/>
        <v>-</v>
      </c>
      <c r="G85" s="231" t="s">
        <v>233</v>
      </c>
      <c r="H85" s="147" t="str">
        <f t="shared" si="8"/>
        <v>-</v>
      </c>
      <c r="I85" s="231">
        <v>0.69180000000000008</v>
      </c>
      <c r="J85" s="147" t="str">
        <f t="shared" si="8"/>
        <v>-</v>
      </c>
      <c r="K85" s="231">
        <v>0.74609999999999999</v>
      </c>
      <c r="L85" s="147">
        <f t="shared" si="9"/>
        <v>7.8490893321769173E-2</v>
      </c>
      <c r="M85" s="231"/>
      <c r="N85" s="147"/>
    </row>
    <row r="86" spans="2:16" x14ac:dyDescent="0.25">
      <c r="B86" s="145" t="s">
        <v>95</v>
      </c>
      <c r="C86" s="231">
        <v>0</v>
      </c>
      <c r="D86" s="147"/>
      <c r="E86" s="231" t="s">
        <v>233</v>
      </c>
      <c r="F86" s="147" t="str">
        <f t="shared" si="8"/>
        <v>-</v>
      </c>
      <c r="G86" s="231" t="s">
        <v>233</v>
      </c>
      <c r="H86" s="147" t="str">
        <f t="shared" si="8"/>
        <v>-</v>
      </c>
      <c r="I86" s="231">
        <v>0.6845</v>
      </c>
      <c r="J86" s="147" t="str">
        <f t="shared" si="8"/>
        <v>-</v>
      </c>
      <c r="K86" s="231">
        <v>0.74150000000000005</v>
      </c>
      <c r="L86" s="147">
        <f t="shared" si="9"/>
        <v>8.3272461650840013E-2</v>
      </c>
      <c r="M86" s="231"/>
      <c r="N86" s="147"/>
    </row>
    <row r="87" spans="2:16" ht="15.75" x14ac:dyDescent="0.25">
      <c r="B87" s="148" t="s">
        <v>32</v>
      </c>
      <c r="C87" s="239">
        <f>IFERROR(AVERAGE(C75:C86),"-")</f>
        <v>0.11443333333333333</v>
      </c>
      <c r="D87" s="240"/>
      <c r="E87" s="239" t="str">
        <f>IFERROR(AVERAGE(E75:E86),"-")</f>
        <v>-</v>
      </c>
      <c r="F87" s="240" t="str">
        <f t="shared" si="8"/>
        <v>-</v>
      </c>
      <c r="G87" s="239" t="str">
        <f>IFERROR(AVERAGE(G75:G86),"-")</f>
        <v>-</v>
      </c>
      <c r="H87" s="240" t="str">
        <f t="shared" si="8"/>
        <v>-</v>
      </c>
      <c r="I87" s="239">
        <f>IFERROR(AVERAGE(I75:I86),"-")</f>
        <v>0.51380833333333331</v>
      </c>
      <c r="J87" s="240" t="str">
        <f t="shared" si="8"/>
        <v>-</v>
      </c>
      <c r="K87" s="239">
        <f>IFERROR(AVERAGE(K75:K86),"-")</f>
        <v>0.57853333333333334</v>
      </c>
      <c r="L87" s="240">
        <f t="shared" si="9"/>
        <v>0.12597109817214602</v>
      </c>
      <c r="M87" s="241"/>
      <c r="N87" s="240"/>
    </row>
    <row r="88" spans="2:16" ht="6" customHeight="1" x14ac:dyDescent="0.25"/>
    <row r="89" spans="2:16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2:16" ht="21.75" customHeight="1" thickBot="1" x14ac:dyDescent="0.3">
      <c r="B92" s="12" t="s">
        <v>312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P92" s="1" t="s">
        <v>163</v>
      </c>
    </row>
    <row r="93" spans="2:16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P93" s="1" t="s">
        <v>164</v>
      </c>
    </row>
    <row r="94" spans="2:16" ht="22.5" thickTop="1" thickBot="1" x14ac:dyDescent="0.3">
      <c r="B94" s="137"/>
      <c r="C94" s="135" t="s">
        <v>34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2:16" ht="22.5" thickTop="1" thickBot="1" x14ac:dyDescent="0.3">
      <c r="B95" s="137"/>
      <c r="C95" s="156">
        <f>C$7</f>
        <v>2020</v>
      </c>
      <c r="D95" s="236"/>
      <c r="E95" s="156">
        <f>E$7</f>
        <v>2021</v>
      </c>
      <c r="F95" s="236"/>
      <c r="G95" s="156">
        <f>G$7</f>
        <v>2022</v>
      </c>
      <c r="H95" s="236"/>
      <c r="I95" s="156">
        <f>I$7</f>
        <v>2023</v>
      </c>
      <c r="J95" s="236"/>
      <c r="K95" s="156">
        <f>K$7</f>
        <v>2024</v>
      </c>
      <c r="L95" s="236"/>
      <c r="M95" s="237">
        <f>M$7</f>
        <v>2025</v>
      </c>
      <c r="N95" s="238"/>
    </row>
    <row r="96" spans="2:16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",RIGHT(E95,2),"/",RIGHT(C95,2))</f>
        <v>var 21/20</v>
      </c>
      <c r="G96" s="144" t="s">
        <v>71</v>
      </c>
      <c r="H96" s="143" t="str">
        <f>CONCATENATE("var ",RIGHT(G95,2),"/",RIGHT(E95,2))</f>
        <v>var 22/21</v>
      </c>
      <c r="I96" s="144" t="s">
        <v>71</v>
      </c>
      <c r="J96" s="143" t="str">
        <f>CONCATENATE("var ",RIGHT(I95,2),"/",RIGHT(G95,2))</f>
        <v>var 23/22</v>
      </c>
      <c r="K96" s="144" t="s">
        <v>71</v>
      </c>
      <c r="L96" s="143" t="str">
        <f>CONCATENATE("var ",RIGHT(K95,2),"/",RIGHT(I95,2))</f>
        <v>var 24/23</v>
      </c>
      <c r="M96" s="144" t="s">
        <v>71</v>
      </c>
      <c r="N96" s="143" t="str">
        <f>CONCATENATE("var ",RIGHT(M95,2),"/",RIGHT(K95,2))</f>
        <v>var 25/24</v>
      </c>
    </row>
    <row r="97" spans="2:14" x14ac:dyDescent="0.25">
      <c r="B97" s="145" t="s">
        <v>73</v>
      </c>
      <c r="C97" s="231" t="s">
        <v>233</v>
      </c>
      <c r="D97" s="147"/>
      <c r="E97" s="231" t="s">
        <v>233</v>
      </c>
      <c r="F97" s="147" t="str">
        <f t="shared" ref="F97:J109" si="11">IFERROR(E97/C97-1,"-")</f>
        <v>-</v>
      </c>
      <c r="G97" s="231" t="s">
        <v>233</v>
      </c>
      <c r="H97" s="147" t="str">
        <f t="shared" si="11"/>
        <v>-</v>
      </c>
      <c r="I97" s="231" t="s">
        <v>233</v>
      </c>
      <c r="J97" s="147" t="str">
        <f t="shared" si="11"/>
        <v>-</v>
      </c>
      <c r="K97" s="231" t="s">
        <v>233</v>
      </c>
      <c r="L97" s="147" t="str">
        <f t="shared" ref="L97:L109" si="12">IFERROR(K97/I97-1,"-")</f>
        <v>-</v>
      </c>
      <c r="M97" s="231" t="s">
        <v>233</v>
      </c>
      <c r="N97" s="147" t="str">
        <f t="shared" ref="N97:N106" si="13">IFERROR(M97/K97-1,"-")</f>
        <v>-</v>
      </c>
    </row>
    <row r="98" spans="2:14" x14ac:dyDescent="0.25">
      <c r="B98" s="145" t="s">
        <v>75</v>
      </c>
      <c r="C98" s="231" t="s">
        <v>233</v>
      </c>
      <c r="D98" s="147"/>
      <c r="E98" s="231" t="s">
        <v>233</v>
      </c>
      <c r="F98" s="147" t="str">
        <f t="shared" si="11"/>
        <v>-</v>
      </c>
      <c r="G98" s="231" t="s">
        <v>233</v>
      </c>
      <c r="H98" s="147" t="str">
        <f t="shared" si="11"/>
        <v>-</v>
      </c>
      <c r="I98" s="231" t="s">
        <v>233</v>
      </c>
      <c r="J98" s="147" t="str">
        <f t="shared" si="11"/>
        <v>-</v>
      </c>
      <c r="K98" s="231" t="s">
        <v>233</v>
      </c>
      <c r="L98" s="147" t="str">
        <f t="shared" si="12"/>
        <v>-</v>
      </c>
      <c r="M98" s="231" t="s">
        <v>233</v>
      </c>
      <c r="N98" s="147" t="str">
        <f t="shared" si="13"/>
        <v>-</v>
      </c>
    </row>
    <row r="99" spans="2:14" x14ac:dyDescent="0.25">
      <c r="B99" s="145" t="s">
        <v>77</v>
      </c>
      <c r="C99" s="231" t="s">
        <v>233</v>
      </c>
      <c r="D99" s="147"/>
      <c r="E99" s="231" t="s">
        <v>233</v>
      </c>
      <c r="F99" s="147" t="str">
        <f t="shared" si="11"/>
        <v>-</v>
      </c>
      <c r="G99" s="231" t="s">
        <v>233</v>
      </c>
      <c r="H99" s="147" t="str">
        <f t="shared" si="11"/>
        <v>-</v>
      </c>
      <c r="I99" s="231" t="s">
        <v>233</v>
      </c>
      <c r="J99" s="147" t="str">
        <f t="shared" si="11"/>
        <v>-</v>
      </c>
      <c r="K99" s="231" t="s">
        <v>233</v>
      </c>
      <c r="L99" s="147" t="str">
        <f t="shared" si="12"/>
        <v>-</v>
      </c>
      <c r="M99" s="231" t="s">
        <v>233</v>
      </c>
      <c r="N99" s="147" t="str">
        <f t="shared" si="13"/>
        <v>-</v>
      </c>
    </row>
    <row r="100" spans="2:14" x14ac:dyDescent="0.25">
      <c r="B100" s="145" t="s">
        <v>79</v>
      </c>
      <c r="C100" s="231" t="s">
        <v>233</v>
      </c>
      <c r="D100" s="147"/>
      <c r="E100" s="231" t="s">
        <v>233</v>
      </c>
      <c r="F100" s="147" t="str">
        <f t="shared" si="11"/>
        <v>-</v>
      </c>
      <c r="G100" s="231" t="s">
        <v>233</v>
      </c>
      <c r="H100" s="147" t="str">
        <f t="shared" si="11"/>
        <v>-</v>
      </c>
      <c r="I100" s="231" t="s">
        <v>233</v>
      </c>
      <c r="J100" s="147" t="str">
        <f t="shared" si="11"/>
        <v>-</v>
      </c>
      <c r="K100" s="231" t="s">
        <v>233</v>
      </c>
      <c r="L100" s="147" t="str">
        <f t="shared" si="12"/>
        <v>-</v>
      </c>
      <c r="M100" s="231" t="s">
        <v>233</v>
      </c>
      <c r="N100" s="147" t="str">
        <f t="shared" si="13"/>
        <v>-</v>
      </c>
    </row>
    <row r="101" spans="2:14" x14ac:dyDescent="0.25">
      <c r="B101" s="145" t="s">
        <v>81</v>
      </c>
      <c r="C101" s="231" t="s">
        <v>233</v>
      </c>
      <c r="D101" s="147"/>
      <c r="E101" s="231" t="s">
        <v>233</v>
      </c>
      <c r="F101" s="147" t="str">
        <f t="shared" si="11"/>
        <v>-</v>
      </c>
      <c r="G101" s="231" t="s">
        <v>233</v>
      </c>
      <c r="H101" s="147" t="str">
        <f t="shared" si="11"/>
        <v>-</v>
      </c>
      <c r="I101" s="231" t="s">
        <v>233</v>
      </c>
      <c r="J101" s="147" t="str">
        <f t="shared" si="11"/>
        <v>-</v>
      </c>
      <c r="K101" s="231" t="s">
        <v>233</v>
      </c>
      <c r="L101" s="147" t="str">
        <f t="shared" si="12"/>
        <v>-</v>
      </c>
      <c r="M101" s="231" t="s">
        <v>233</v>
      </c>
      <c r="N101" s="147" t="str">
        <f t="shared" si="13"/>
        <v>-</v>
      </c>
    </row>
    <row r="102" spans="2:14" x14ac:dyDescent="0.25">
      <c r="B102" s="145" t="s">
        <v>83</v>
      </c>
      <c r="C102" s="231" t="s">
        <v>233</v>
      </c>
      <c r="D102" s="147"/>
      <c r="E102" s="231" t="s">
        <v>233</v>
      </c>
      <c r="F102" s="147" t="str">
        <f t="shared" si="11"/>
        <v>-</v>
      </c>
      <c r="G102" s="231" t="s">
        <v>233</v>
      </c>
      <c r="H102" s="147" t="str">
        <f t="shared" si="11"/>
        <v>-</v>
      </c>
      <c r="I102" s="231" t="s">
        <v>233</v>
      </c>
      <c r="J102" s="147" t="str">
        <f t="shared" si="11"/>
        <v>-</v>
      </c>
      <c r="K102" s="231" t="s">
        <v>233</v>
      </c>
      <c r="L102" s="147" t="str">
        <f t="shared" si="12"/>
        <v>-</v>
      </c>
      <c r="M102" s="231" t="s">
        <v>233</v>
      </c>
      <c r="N102" s="147" t="str">
        <f t="shared" si="13"/>
        <v>-</v>
      </c>
    </row>
    <row r="103" spans="2:14" x14ac:dyDescent="0.25">
      <c r="B103" s="145" t="s">
        <v>85</v>
      </c>
      <c r="C103" s="231" t="s">
        <v>233</v>
      </c>
      <c r="D103" s="147"/>
      <c r="E103" s="231" t="s">
        <v>233</v>
      </c>
      <c r="F103" s="147" t="str">
        <f t="shared" si="11"/>
        <v>-</v>
      </c>
      <c r="G103" s="231" t="s">
        <v>233</v>
      </c>
      <c r="H103" s="147" t="str">
        <f t="shared" si="11"/>
        <v>-</v>
      </c>
      <c r="I103" s="231" t="s">
        <v>233</v>
      </c>
      <c r="J103" s="147" t="str">
        <f t="shared" si="11"/>
        <v>-</v>
      </c>
      <c r="K103" s="231" t="s">
        <v>233</v>
      </c>
      <c r="L103" s="147" t="str">
        <f t="shared" si="12"/>
        <v>-</v>
      </c>
      <c r="M103" s="231" t="s">
        <v>233</v>
      </c>
      <c r="N103" s="147" t="str">
        <f t="shared" si="13"/>
        <v>-</v>
      </c>
    </row>
    <row r="104" spans="2:14" x14ac:dyDescent="0.25">
      <c r="B104" s="145" t="s">
        <v>87</v>
      </c>
      <c r="C104" s="231" t="s">
        <v>233</v>
      </c>
      <c r="D104" s="147"/>
      <c r="E104" s="231" t="s">
        <v>233</v>
      </c>
      <c r="F104" s="147" t="str">
        <f t="shared" si="11"/>
        <v>-</v>
      </c>
      <c r="G104" s="231" t="s">
        <v>233</v>
      </c>
      <c r="H104" s="147" t="str">
        <f t="shared" si="11"/>
        <v>-</v>
      </c>
      <c r="I104" s="231" t="s">
        <v>233</v>
      </c>
      <c r="J104" s="147" t="str">
        <f t="shared" si="11"/>
        <v>-</v>
      </c>
      <c r="K104" s="231" t="s">
        <v>233</v>
      </c>
      <c r="L104" s="147" t="str">
        <f t="shared" si="12"/>
        <v>-</v>
      </c>
      <c r="M104" s="231" t="s">
        <v>233</v>
      </c>
      <c r="N104" s="147" t="str">
        <f t="shared" si="13"/>
        <v>-</v>
      </c>
    </row>
    <row r="105" spans="2:14" x14ac:dyDescent="0.25">
      <c r="B105" s="145" t="s">
        <v>89</v>
      </c>
      <c r="C105" s="231" t="s">
        <v>233</v>
      </c>
      <c r="D105" s="147"/>
      <c r="E105" s="231" t="s">
        <v>233</v>
      </c>
      <c r="F105" s="147" t="str">
        <f t="shared" si="11"/>
        <v>-</v>
      </c>
      <c r="G105" s="231" t="s">
        <v>233</v>
      </c>
      <c r="H105" s="147" t="str">
        <f t="shared" si="11"/>
        <v>-</v>
      </c>
      <c r="I105" s="231" t="s">
        <v>233</v>
      </c>
      <c r="J105" s="147" t="str">
        <f t="shared" si="11"/>
        <v>-</v>
      </c>
      <c r="K105" s="231" t="s">
        <v>233</v>
      </c>
      <c r="L105" s="147" t="str">
        <f t="shared" si="12"/>
        <v>-</v>
      </c>
      <c r="M105" s="231" t="s">
        <v>233</v>
      </c>
      <c r="N105" s="147" t="str">
        <f t="shared" si="13"/>
        <v>-</v>
      </c>
    </row>
    <row r="106" spans="2:14" x14ac:dyDescent="0.25">
      <c r="B106" s="145" t="s">
        <v>91</v>
      </c>
      <c r="C106" s="231" t="s">
        <v>233</v>
      </c>
      <c r="D106" s="147"/>
      <c r="E106" s="231" t="s">
        <v>233</v>
      </c>
      <c r="F106" s="147" t="str">
        <f t="shared" si="11"/>
        <v>-</v>
      </c>
      <c r="G106" s="231" t="s">
        <v>233</v>
      </c>
      <c r="H106" s="147" t="str">
        <f t="shared" si="11"/>
        <v>-</v>
      </c>
      <c r="I106" s="231" t="s">
        <v>233</v>
      </c>
      <c r="J106" s="147" t="str">
        <f t="shared" si="11"/>
        <v>-</v>
      </c>
      <c r="K106" s="231" t="s">
        <v>233</v>
      </c>
      <c r="L106" s="147" t="str">
        <f t="shared" si="12"/>
        <v>-</v>
      </c>
      <c r="M106" s="231" t="s">
        <v>233</v>
      </c>
      <c r="N106" s="147" t="str">
        <f t="shared" si="13"/>
        <v>-</v>
      </c>
    </row>
    <row r="107" spans="2:14" x14ac:dyDescent="0.25">
      <c r="B107" s="145" t="s">
        <v>93</v>
      </c>
      <c r="C107" s="231" t="s">
        <v>233</v>
      </c>
      <c r="D107" s="147"/>
      <c r="E107" s="231" t="s">
        <v>233</v>
      </c>
      <c r="F107" s="147" t="str">
        <f t="shared" si="11"/>
        <v>-</v>
      </c>
      <c r="G107" s="231" t="s">
        <v>233</v>
      </c>
      <c r="H107" s="147" t="str">
        <f t="shared" si="11"/>
        <v>-</v>
      </c>
      <c r="I107" s="231" t="s">
        <v>233</v>
      </c>
      <c r="J107" s="147" t="str">
        <f t="shared" si="11"/>
        <v>-</v>
      </c>
      <c r="K107" s="231" t="s">
        <v>233</v>
      </c>
      <c r="L107" s="147" t="str">
        <f t="shared" si="12"/>
        <v>-</v>
      </c>
      <c r="M107" s="231"/>
      <c r="N107" s="147"/>
    </row>
    <row r="108" spans="2:14" x14ac:dyDescent="0.25">
      <c r="B108" s="145" t="s">
        <v>95</v>
      </c>
      <c r="C108" s="231" t="s">
        <v>233</v>
      </c>
      <c r="D108" s="147"/>
      <c r="E108" s="231" t="s">
        <v>233</v>
      </c>
      <c r="F108" s="147" t="str">
        <f t="shared" si="11"/>
        <v>-</v>
      </c>
      <c r="G108" s="231" t="s">
        <v>233</v>
      </c>
      <c r="H108" s="147" t="str">
        <f t="shared" si="11"/>
        <v>-</v>
      </c>
      <c r="I108" s="231" t="s">
        <v>233</v>
      </c>
      <c r="J108" s="147" t="str">
        <f t="shared" si="11"/>
        <v>-</v>
      </c>
      <c r="K108" s="231" t="s">
        <v>233</v>
      </c>
      <c r="L108" s="147" t="str">
        <f t="shared" si="12"/>
        <v>-</v>
      </c>
      <c r="M108" s="231"/>
      <c r="N108" s="147"/>
    </row>
    <row r="109" spans="2:14" ht="15.75" x14ac:dyDescent="0.25">
      <c r="B109" s="148" t="s">
        <v>32</v>
      </c>
      <c r="C109" s="242" t="str">
        <f>IFERROR(AVERAGE(C97:C108),"-")</f>
        <v>-</v>
      </c>
      <c r="D109" s="150"/>
      <c r="E109" s="242" t="str">
        <f>IFERROR(AVERAGE(E97:E108),"-")</f>
        <v>-</v>
      </c>
      <c r="F109" s="150" t="str">
        <f t="shared" si="11"/>
        <v>-</v>
      </c>
      <c r="G109" s="242" t="str">
        <f>IFERROR(AVERAGE(G97:G108),"-")</f>
        <v>-</v>
      </c>
      <c r="H109" s="150" t="str">
        <f t="shared" si="11"/>
        <v>-</v>
      </c>
      <c r="I109" s="242" t="str">
        <f>IFERROR(AVERAGE(I97:I108),"-")</f>
        <v>-</v>
      </c>
      <c r="J109" s="150" t="str">
        <f t="shared" si="11"/>
        <v>-</v>
      </c>
      <c r="K109" s="242" t="str">
        <f>IFERROR(AVERAGE(K97:K108),"-")</f>
        <v>-</v>
      </c>
      <c r="L109" s="150" t="str">
        <f t="shared" si="12"/>
        <v>-</v>
      </c>
      <c r="M109" s="242"/>
      <c r="N109" s="150"/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235"/>
      <c r="K112" s="235"/>
      <c r="L112" s="235"/>
    </row>
  </sheetData>
  <mergeCells count="17">
    <mergeCell ref="C72:N72"/>
    <mergeCell ref="B92:N92"/>
    <mergeCell ref="C94:N94"/>
    <mergeCell ref="O21:O24"/>
    <mergeCell ref="B26:N26"/>
    <mergeCell ref="C28:N28"/>
    <mergeCell ref="B48:N48"/>
    <mergeCell ref="C50:N50"/>
    <mergeCell ref="B70:N70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45996-ABA4-4E95-8C1A-1CD3C68A4399}">
  <sheetPr>
    <tabColor theme="2" tint="-0.499984740745262"/>
  </sheetPr>
  <dimension ref="B4:B25"/>
  <sheetViews>
    <sheetView showGridLines="0" workbookViewId="0">
      <selection activeCell="D5" sqref="D5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165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B2572-C60E-4662-8721-596C790AD846}">
  <sheetPr>
    <tabColor theme="2" tint="-9.9978637043366805E-2"/>
  </sheetPr>
  <dimension ref="B1:AW44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24" customWidth="1"/>
    <col min="3" max="3" width="13.42578125" customWidth="1"/>
    <col min="4" max="4" width="16" customWidth="1"/>
    <col min="5" max="5" width="18.42578125" customWidth="1"/>
    <col min="6" max="6" width="15.42578125" customWidth="1"/>
    <col min="7" max="7" width="16.42578125" customWidth="1"/>
    <col min="8" max="8" width="16" customWidth="1"/>
    <col min="9" max="9" width="11" customWidth="1"/>
    <col min="10" max="10" width="13.85546875" customWidth="1"/>
    <col min="11" max="11" width="11" customWidth="1"/>
    <col min="12" max="14" width="11.42578125" customWidth="1"/>
    <col min="16" max="16" width="25" customWidth="1"/>
    <col min="17" max="17" width="11.28515625" customWidth="1"/>
    <col min="18" max="18" width="14.85546875" customWidth="1"/>
    <col min="19" max="19" width="14.42578125" customWidth="1"/>
    <col min="20" max="21" width="14.28515625" customWidth="1"/>
    <col min="22" max="22" width="14.42578125" customWidth="1"/>
    <col min="23" max="23" width="15" customWidth="1"/>
    <col min="24" max="24" width="11.42578125" customWidth="1"/>
    <col min="25" max="25" width="14.85546875" customWidth="1"/>
    <col min="26" max="26" width="11.42578125" customWidth="1"/>
    <col min="27" max="27" width="12.42578125" customWidth="1"/>
    <col min="28" max="28" width="10.85546875" customWidth="1"/>
    <col min="29" max="29" width="9.85546875" customWidth="1"/>
    <col min="30" max="30" width="14.5703125" customWidth="1"/>
    <col min="31" max="31" width="28.42578125" customWidth="1"/>
    <col min="32" max="36" width="17.7109375" customWidth="1"/>
    <col min="37" max="37" width="9.28515625" customWidth="1"/>
    <col min="38" max="38" width="14.140625" customWidth="1"/>
    <col min="39" max="39" width="7.85546875" customWidth="1"/>
    <col min="40" max="44" width="14.42578125" hidden="1" customWidth="1"/>
    <col min="45" max="45" width="9.85546875" hidden="1" customWidth="1"/>
    <col min="46" max="46" width="13" hidden="1" customWidth="1"/>
    <col min="47" max="47" width="9.5703125" hidden="1" customWidth="1"/>
    <col min="48" max="48" width="11.85546875" hidden="1" customWidth="1"/>
    <col min="49" max="49" width="9" hidden="1" customWidth="1"/>
  </cols>
  <sheetData>
    <row r="1" spans="2:48" ht="42.75" customHeight="1" x14ac:dyDescent="0.25"/>
    <row r="3" spans="2:48" x14ac:dyDescent="0.25">
      <c r="N3" s="243"/>
    </row>
    <row r="5" spans="2:48" ht="50.25" customHeight="1" thickBot="1" x14ac:dyDescent="0.3">
      <c r="B5" s="12" t="s">
        <v>166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P5" s="12" t="s">
        <v>167</v>
      </c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D5" s="12" t="s">
        <v>168</v>
      </c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73"/>
      <c r="AV5" s="173"/>
    </row>
    <row r="6" spans="2:48" ht="6" customHeight="1" thickBot="1" x14ac:dyDescent="0.3"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8"/>
      <c r="N6" s="108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8"/>
      <c r="AB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</row>
    <row r="7" spans="2:48" ht="51.75" customHeight="1" thickBot="1" x14ac:dyDescent="0.3">
      <c r="B7" s="109"/>
      <c r="C7" s="244" t="s">
        <v>266</v>
      </c>
      <c r="D7" s="244" t="s">
        <v>267</v>
      </c>
      <c r="E7" s="244" t="s">
        <v>268</v>
      </c>
      <c r="F7" s="116" t="s">
        <v>269</v>
      </c>
      <c r="G7" s="116" t="s">
        <v>270</v>
      </c>
      <c r="H7" s="15" t="str">
        <f>CONCATENATE("var. ",RIGHT(G7,2),"/",RIGHT(F7,2))</f>
        <v>var. 25/24</v>
      </c>
      <c r="I7" s="244" t="s">
        <v>228</v>
      </c>
      <c r="J7" s="245" t="s">
        <v>229</v>
      </c>
      <c r="K7" s="245" t="s">
        <v>230</v>
      </c>
      <c r="L7" s="14" t="s">
        <v>231</v>
      </c>
      <c r="M7" s="14" t="s">
        <v>232</v>
      </c>
      <c r="N7" s="15" t="str">
        <f>CONCATENATE("var. ",RIGHT(M7,2),"/",RIGHT(L7,2))</f>
        <v>var. 25/24</v>
      </c>
      <c r="P7" s="109"/>
      <c r="Q7" s="244" t="s">
        <v>266</v>
      </c>
      <c r="R7" s="245" t="s">
        <v>267</v>
      </c>
      <c r="S7" s="245" t="s">
        <v>268</v>
      </c>
      <c r="T7" s="116" t="s">
        <v>269</v>
      </c>
      <c r="U7" s="116" t="s">
        <v>270</v>
      </c>
      <c r="V7" s="15" t="str">
        <f>CONCATENATE("var. ",RIGHT(U7,2),"/",RIGHT(T7,2))</f>
        <v>var. 25/24</v>
      </c>
      <c r="W7" s="244" t="s">
        <v>228</v>
      </c>
      <c r="X7" s="244" t="s">
        <v>229</v>
      </c>
      <c r="Y7" s="244" t="s">
        <v>230</v>
      </c>
      <c r="Z7" s="14" t="s">
        <v>231</v>
      </c>
      <c r="AA7" s="14" t="s">
        <v>232</v>
      </c>
      <c r="AB7" s="15" t="str">
        <f>CONCATENATE("var. ",RIGHT(AA7,2),"/",RIGHT(Z7,2))</f>
        <v>var. 25/24</v>
      </c>
      <c r="AD7" s="109"/>
      <c r="AE7" s="244" t="s">
        <v>266</v>
      </c>
      <c r="AF7" s="245" t="s">
        <v>267</v>
      </c>
      <c r="AG7" s="245" t="s">
        <v>268</v>
      </c>
      <c r="AH7" s="116" t="s">
        <v>269</v>
      </c>
      <c r="AI7" s="116" t="s">
        <v>270</v>
      </c>
      <c r="AJ7" s="15" t="str">
        <f>CONCATENATE("var. ",RIGHT(AI7,2),"/",RIGHT(AH7,2))</f>
        <v>var. 25/24</v>
      </c>
      <c r="AK7" s="246" t="str">
        <f>CONCATENATE("dif. ",RIGHT(AI7,2),"/",RIGHT(AH7,2))</f>
        <v>dif. 25/24</v>
      </c>
      <c r="AL7" s="247" t="str">
        <f>CONCATENATE("cuota ",RIGHT(AI7,2))</f>
        <v>cuota 25</v>
      </c>
      <c r="AM7" s="244" t="s">
        <v>228</v>
      </c>
      <c r="AN7" s="245" t="s">
        <v>229</v>
      </c>
      <c r="AO7" s="245" t="s">
        <v>230</v>
      </c>
      <c r="AP7" s="14" t="s">
        <v>231</v>
      </c>
      <c r="AQ7" s="14" t="s">
        <v>232</v>
      </c>
      <c r="AR7" s="15" t="str">
        <f>CONCATENATE("var. ",RIGHT(AQ7,2),"/",RIGHT(AP7,2))</f>
        <v>var. 25/24</v>
      </c>
      <c r="AS7" s="246" t="str">
        <f>CONCATENATE("dif. ",RIGHT(AQ7,2),"/",RIGHT(AP7,2))</f>
        <v>dif. 25/24</v>
      </c>
      <c r="AT7" s="246" t="str">
        <f>CONCATENATE("var. ",RIGHT(AQ7,2),"/",RIGHT(AM7,2))</f>
        <v>var. 25/21</v>
      </c>
      <c r="AU7" s="246" t="str">
        <f>CONCATENATE("dif. ",RIGHT(AQ7,2),"/",RIGHT(AM7,2))</f>
        <v>dif. 25/21</v>
      </c>
      <c r="AV7" s="247" t="str">
        <f>CONCATENATE("cuota ",RIGHT(AQ7,2))</f>
        <v>cuota 25</v>
      </c>
    </row>
    <row r="8" spans="2:48" ht="15.75" x14ac:dyDescent="0.25">
      <c r="B8" s="248" t="s">
        <v>45</v>
      </c>
      <c r="C8" s="249">
        <v>94.47676159590354</v>
      </c>
      <c r="D8" s="250">
        <v>103.51059365237518</v>
      </c>
      <c r="E8" s="250">
        <v>110.495798133977</v>
      </c>
      <c r="F8" s="251">
        <v>121.90621432671452</v>
      </c>
      <c r="G8" s="250">
        <v>129.43844116707663</v>
      </c>
      <c r="H8" s="163">
        <f>G8/F8-1</f>
        <v>6.1787062144144533E-2</v>
      </c>
      <c r="I8" s="249">
        <v>105.23</v>
      </c>
      <c r="J8" s="252">
        <v>105.25</v>
      </c>
      <c r="K8" s="252">
        <v>114.83</v>
      </c>
      <c r="L8" s="252">
        <v>123.97</v>
      </c>
      <c r="M8" s="252">
        <v>130.07</v>
      </c>
      <c r="N8" s="163">
        <f t="shared" ref="N8:N18" si="0">M8/L8-1</f>
        <v>4.9205452932161053E-2</v>
      </c>
      <c r="P8" s="248" t="s">
        <v>45</v>
      </c>
      <c r="Q8" s="249">
        <v>44.968658168364037</v>
      </c>
      <c r="R8" s="251">
        <v>77.585672942896579</v>
      </c>
      <c r="S8" s="251">
        <v>89.649875659827757</v>
      </c>
      <c r="T8" s="251">
        <v>101.16666562217193</v>
      </c>
      <c r="U8" s="251">
        <v>106.84737754644527</v>
      </c>
      <c r="V8" s="163">
        <f t="shared" ref="V8:V18" si="1">U8/T8-1</f>
        <v>5.61520130107791E-2</v>
      </c>
      <c r="W8" s="249">
        <v>76.52</v>
      </c>
      <c r="X8" s="252">
        <v>83.26</v>
      </c>
      <c r="Y8" s="252">
        <v>94.83</v>
      </c>
      <c r="Z8" s="252">
        <v>104.38</v>
      </c>
      <c r="AA8" s="252">
        <v>109.23</v>
      </c>
      <c r="AB8" s="163">
        <f t="shared" ref="AB8:AB18" si="2">AA8/Z8-1</f>
        <v>4.6464840007664376E-2</v>
      </c>
      <c r="AD8" s="86" t="s">
        <v>45</v>
      </c>
      <c r="AE8" s="253">
        <v>418465794.61000001</v>
      </c>
      <c r="AF8" s="162">
        <v>1220647920.8699999</v>
      </c>
      <c r="AG8" s="162">
        <v>1436841017.01</v>
      </c>
      <c r="AH8" s="162">
        <v>1647597613.0800004</v>
      </c>
      <c r="AI8" s="162">
        <v>1711578043.2500002</v>
      </c>
      <c r="AJ8" s="163">
        <f t="shared" ref="AJ8:AJ18" si="3">AI8/AH8-1</f>
        <v>3.8832558181724597E-2</v>
      </c>
      <c r="AK8" s="162">
        <f t="shared" ref="AK8:AK18" si="4">AI8-AH8</f>
        <v>63980430.169999838</v>
      </c>
      <c r="AL8" s="164">
        <f t="shared" ref="AL8:AL18" si="5">AI8/AI$8</f>
        <v>1</v>
      </c>
      <c r="AM8" s="254">
        <v>112153548.94</v>
      </c>
      <c r="AN8" s="255">
        <v>135040900.16</v>
      </c>
      <c r="AO8" s="255">
        <v>154764218.94</v>
      </c>
      <c r="AP8" s="255">
        <v>175343457.41</v>
      </c>
      <c r="AQ8" s="255">
        <v>179914514.97</v>
      </c>
      <c r="AR8" s="163">
        <f t="shared" ref="AR8:AR18" si="6">AQ8/AP8-1</f>
        <v>2.6069165211631828E-2</v>
      </c>
      <c r="AS8" s="162">
        <f t="shared" ref="AS8:AS18" si="7">AQ8-AP8</f>
        <v>4571057.5600000024</v>
      </c>
      <c r="AT8" s="163">
        <f t="shared" ref="AT8:AT18" si="8">AQ8/AM8-1</f>
        <v>0.60418031056913613</v>
      </c>
      <c r="AU8" s="162">
        <f t="shared" ref="AU8:AU18" si="9">AQ8-AM8</f>
        <v>67760966.030000001</v>
      </c>
      <c r="AV8" s="164">
        <f t="shared" ref="AV8:AV18" si="10">AQ8/AQ$8</f>
        <v>1</v>
      </c>
    </row>
    <row r="9" spans="2:48" x14ac:dyDescent="0.25">
      <c r="B9" s="18" t="s">
        <v>46</v>
      </c>
      <c r="C9" s="256">
        <v>120.02147991713741</v>
      </c>
      <c r="D9" s="257">
        <v>127.80811517194634</v>
      </c>
      <c r="E9" s="257">
        <v>134.37015624961802</v>
      </c>
      <c r="F9" s="257">
        <v>146.8984703586496</v>
      </c>
      <c r="G9" s="257">
        <v>154.80116205202035</v>
      </c>
      <c r="H9" s="97">
        <f>G9/F9-1</f>
        <v>5.3796963808244502E-2</v>
      </c>
      <c r="I9" s="256">
        <v>132.52000000000001</v>
      </c>
      <c r="J9" s="257">
        <v>129.80000000000001</v>
      </c>
      <c r="K9" s="257">
        <v>139.91999999999999</v>
      </c>
      <c r="L9" s="257">
        <v>149.41</v>
      </c>
      <c r="M9" s="257">
        <v>157.84</v>
      </c>
      <c r="N9" s="97">
        <f t="shared" si="0"/>
        <v>5.6421926243223286E-2</v>
      </c>
      <c r="P9" s="18" t="s">
        <v>46</v>
      </c>
      <c r="Q9" s="256">
        <v>62.249642421004076</v>
      </c>
      <c r="R9" s="257">
        <v>104.01424644615263</v>
      </c>
      <c r="S9" s="257">
        <v>114.83520251691239</v>
      </c>
      <c r="T9" s="257">
        <v>126.43260550178164</v>
      </c>
      <c r="U9" s="257">
        <v>131.85649120019059</v>
      </c>
      <c r="V9" s="97">
        <f t="shared" si="1"/>
        <v>4.2899422003389143E-2</v>
      </c>
      <c r="W9" s="256">
        <v>106</v>
      </c>
      <c r="X9" s="257">
        <v>112.13</v>
      </c>
      <c r="Y9" s="257">
        <v>121.45</v>
      </c>
      <c r="Z9" s="257">
        <v>131.94</v>
      </c>
      <c r="AA9" s="257">
        <v>134.38</v>
      </c>
      <c r="AB9" s="97">
        <f t="shared" si="2"/>
        <v>1.8493254509625467E-2</v>
      </c>
      <c r="AD9" s="18" t="s">
        <v>46</v>
      </c>
      <c r="AE9" s="258">
        <v>216528168.16000003</v>
      </c>
      <c r="AF9" s="70">
        <v>594845246.01999998</v>
      </c>
      <c r="AG9" s="70">
        <v>685482777.68999994</v>
      </c>
      <c r="AH9" s="70">
        <v>764872263.67000008</v>
      </c>
      <c r="AI9" s="70">
        <v>758383434.38</v>
      </c>
      <c r="AJ9" s="97">
        <f t="shared" si="3"/>
        <v>-8.4835463360449781E-3</v>
      </c>
      <c r="AK9" s="70">
        <f t="shared" si="4"/>
        <v>-6488829.2900000811</v>
      </c>
      <c r="AL9" s="124">
        <f t="shared" si="5"/>
        <v>0.44309018649243526</v>
      </c>
      <c r="AM9" s="259">
        <v>56935470.75</v>
      </c>
      <c r="AN9" s="260">
        <v>65605493.899999999</v>
      </c>
      <c r="AO9" s="260">
        <v>75041552.640000001</v>
      </c>
      <c r="AP9" s="260">
        <v>82045251.849999994</v>
      </c>
      <c r="AQ9" s="260">
        <v>81061163.700000003</v>
      </c>
      <c r="AR9" s="97">
        <f t="shared" si="6"/>
        <v>-1.1994455837604834E-2</v>
      </c>
      <c r="AS9" s="70">
        <f t="shared" si="7"/>
        <v>-984088.14999999106</v>
      </c>
      <c r="AT9" s="97">
        <f t="shared" si="8"/>
        <v>0.42373748090947339</v>
      </c>
      <c r="AU9" s="70">
        <f t="shared" si="9"/>
        <v>24125692.950000003</v>
      </c>
      <c r="AV9" s="124">
        <f t="shared" si="10"/>
        <v>0.45055377390488266</v>
      </c>
    </row>
    <row r="10" spans="2:48" x14ac:dyDescent="0.25">
      <c r="B10" s="24" t="s">
        <v>47</v>
      </c>
      <c r="C10" s="256">
        <v>80.290545247609458</v>
      </c>
      <c r="D10" s="257">
        <v>91.548614248291642</v>
      </c>
      <c r="E10" s="257">
        <v>98.58810055502741</v>
      </c>
      <c r="F10" s="257">
        <v>112.82684308235204</v>
      </c>
      <c r="G10" s="257">
        <v>122.22429458106812</v>
      </c>
      <c r="H10" s="97">
        <f>G10/F10-1</f>
        <v>8.32909194477498E-2</v>
      </c>
      <c r="I10" s="256">
        <v>87.2</v>
      </c>
      <c r="J10" s="257">
        <v>94.63</v>
      </c>
      <c r="K10" s="257">
        <v>100.29</v>
      </c>
      <c r="L10" s="257">
        <v>116.03</v>
      </c>
      <c r="M10" s="257">
        <v>121.7</v>
      </c>
      <c r="N10" s="97">
        <f t="shared" si="0"/>
        <v>4.8866672412307244E-2</v>
      </c>
      <c r="P10" s="24" t="s">
        <v>47</v>
      </c>
      <c r="Q10" s="256">
        <v>33.95242388735403</v>
      </c>
      <c r="R10" s="257">
        <v>68.49298851867286</v>
      </c>
      <c r="S10" s="257">
        <v>80.655298704795626</v>
      </c>
      <c r="T10" s="257">
        <v>94.244930852908865</v>
      </c>
      <c r="U10" s="257">
        <v>100.84029547396078</v>
      </c>
      <c r="V10" s="97">
        <f t="shared" si="1"/>
        <v>6.9981107327093506E-2</v>
      </c>
      <c r="W10" s="256">
        <v>61.72</v>
      </c>
      <c r="X10" s="257">
        <v>76.150000000000006</v>
      </c>
      <c r="Y10" s="257">
        <v>85.81</v>
      </c>
      <c r="Z10" s="257">
        <v>96.94</v>
      </c>
      <c r="AA10" s="257">
        <v>104.95</v>
      </c>
      <c r="AB10" s="97">
        <f t="shared" si="2"/>
        <v>8.2628429956674188E-2</v>
      </c>
      <c r="AD10" s="24" t="s">
        <v>47</v>
      </c>
      <c r="AE10" s="258">
        <v>79958747.429999992</v>
      </c>
      <c r="AF10" s="70">
        <v>303638448.10000002</v>
      </c>
      <c r="AG10" s="70">
        <v>350771697.94</v>
      </c>
      <c r="AH10" s="70">
        <v>415964844.41000003</v>
      </c>
      <c r="AI10" s="70">
        <v>442832288.12</v>
      </c>
      <c r="AJ10" s="97">
        <f t="shared" si="3"/>
        <v>6.4590659694110597E-2</v>
      </c>
      <c r="AK10" s="70">
        <f t="shared" si="4"/>
        <v>26867443.709999979</v>
      </c>
      <c r="AL10" s="124">
        <f t="shared" si="5"/>
        <v>0.2587274882769211</v>
      </c>
      <c r="AM10" s="259">
        <v>25315026.169999998</v>
      </c>
      <c r="AN10" s="260">
        <v>35398040.82</v>
      </c>
      <c r="AO10" s="260">
        <v>37749114.700000003</v>
      </c>
      <c r="AP10" s="260">
        <v>44156356.289999999</v>
      </c>
      <c r="AQ10" s="260">
        <v>46674351.400000006</v>
      </c>
      <c r="AR10" s="97">
        <f t="shared" si="6"/>
        <v>5.7024521984171406E-2</v>
      </c>
      <c r="AS10" s="70">
        <f t="shared" si="7"/>
        <v>2517995.1100000069</v>
      </c>
      <c r="AT10" s="97">
        <f t="shared" si="8"/>
        <v>0.84374098950417986</v>
      </c>
      <c r="AU10" s="70">
        <f t="shared" si="9"/>
        <v>21359325.230000008</v>
      </c>
      <c r="AV10" s="124">
        <f t="shared" si="10"/>
        <v>0.25942515759655499</v>
      </c>
    </row>
    <row r="11" spans="2:48" x14ac:dyDescent="0.25">
      <c r="B11" s="24" t="s">
        <v>48</v>
      </c>
      <c r="C11" s="256">
        <v>63.187162427832199</v>
      </c>
      <c r="D11" s="257">
        <v>74.099782483795423</v>
      </c>
      <c r="E11" s="257">
        <v>78.150113391052287</v>
      </c>
      <c r="F11" s="257">
        <v>85.615358204838472</v>
      </c>
      <c r="G11" s="257">
        <v>96.900103025370896</v>
      </c>
      <c r="H11" s="97">
        <f>G11/F11-1</f>
        <v>0.13180748240909268</v>
      </c>
      <c r="I11" s="256">
        <v>67.12</v>
      </c>
      <c r="J11" s="257">
        <v>82.24</v>
      </c>
      <c r="K11" s="257">
        <v>85.13</v>
      </c>
      <c r="L11" s="257">
        <v>88.45</v>
      </c>
      <c r="M11" s="257">
        <v>89.67</v>
      </c>
      <c r="N11" s="97">
        <f t="shared" si="0"/>
        <v>1.379310344827589E-2</v>
      </c>
      <c r="P11" s="24" t="s">
        <v>48</v>
      </c>
      <c r="Q11" s="256">
        <v>30.600148499036134</v>
      </c>
      <c r="R11" s="257">
        <v>50.025601581139455</v>
      </c>
      <c r="S11" s="257">
        <v>50.251032830058051</v>
      </c>
      <c r="T11" s="257">
        <v>59.182203294682665</v>
      </c>
      <c r="U11" s="257">
        <v>65.348788819247105</v>
      </c>
      <c r="V11" s="97">
        <f t="shared" si="1"/>
        <v>0.10419661961315474</v>
      </c>
      <c r="W11" s="256">
        <v>49.31</v>
      </c>
      <c r="X11" s="257">
        <v>55.54</v>
      </c>
      <c r="Y11" s="257">
        <v>63.89</v>
      </c>
      <c r="Z11" s="257">
        <v>58.95</v>
      </c>
      <c r="AA11" s="257">
        <v>63.06</v>
      </c>
      <c r="AB11" s="97">
        <f t="shared" si="2"/>
        <v>6.9720101781170385E-2</v>
      </c>
      <c r="AD11" s="24" t="s">
        <v>48</v>
      </c>
      <c r="AE11" s="258">
        <v>2906991.17</v>
      </c>
      <c r="AF11" s="70">
        <v>6243688.21</v>
      </c>
      <c r="AG11" s="70">
        <v>6759139.96</v>
      </c>
      <c r="AH11" s="70">
        <v>7994700.9999999991</v>
      </c>
      <c r="AI11" s="70">
        <v>8995645.3699999992</v>
      </c>
      <c r="AJ11" s="97">
        <f t="shared" si="3"/>
        <v>0.1252009762466415</v>
      </c>
      <c r="AK11" s="70">
        <f t="shared" si="4"/>
        <v>1000944.3700000001</v>
      </c>
      <c r="AL11" s="124">
        <f t="shared" si="5"/>
        <v>5.2557611412908604E-3</v>
      </c>
      <c r="AM11" s="259">
        <v>593096.95000000007</v>
      </c>
      <c r="AN11" s="260">
        <v>747294.64</v>
      </c>
      <c r="AO11" s="260">
        <v>891304.72</v>
      </c>
      <c r="AP11" s="260">
        <v>822294.74</v>
      </c>
      <c r="AQ11" s="260">
        <v>893423.36</v>
      </c>
      <c r="AR11" s="97">
        <f t="shared" si="6"/>
        <v>8.6500152001458774E-2</v>
      </c>
      <c r="AS11" s="70">
        <f t="shared" si="7"/>
        <v>71128.62</v>
      </c>
      <c r="AT11" s="97">
        <f t="shared" si="8"/>
        <v>0.50636984391843498</v>
      </c>
      <c r="AU11" s="70">
        <f t="shared" si="9"/>
        <v>300326.40999999992</v>
      </c>
      <c r="AV11" s="124">
        <f t="shared" si="10"/>
        <v>4.9658214633153674E-3</v>
      </c>
    </row>
    <row r="12" spans="2:48" x14ac:dyDescent="0.25">
      <c r="B12" s="24" t="s">
        <v>49</v>
      </c>
      <c r="C12" s="256">
        <v>160.85168881317696</v>
      </c>
      <c r="D12" s="257">
        <v>192.18705437946062</v>
      </c>
      <c r="E12" s="257">
        <v>191.35902797693288</v>
      </c>
      <c r="F12" s="257">
        <v>191.94562821778092</v>
      </c>
      <c r="G12" s="257">
        <v>208.44798116074782</v>
      </c>
      <c r="H12" s="97">
        <f t="shared" ref="H12:H18" si="11">G12/F12-1</f>
        <v>8.5974101604665787E-2</v>
      </c>
      <c r="I12" s="256">
        <v>207.04</v>
      </c>
      <c r="J12" s="257">
        <v>142.35</v>
      </c>
      <c r="K12" s="257">
        <v>198.53</v>
      </c>
      <c r="L12" s="257">
        <v>162.57</v>
      </c>
      <c r="M12" s="257">
        <v>206.69</v>
      </c>
      <c r="N12" s="97">
        <f t="shared" si="0"/>
        <v>0.27139078550778128</v>
      </c>
      <c r="P12" s="24" t="s">
        <v>49</v>
      </c>
      <c r="Q12" s="256">
        <v>42.881099663369589</v>
      </c>
      <c r="R12" s="257">
        <v>95.219807372673046</v>
      </c>
      <c r="S12" s="257">
        <v>102.54041562815578</v>
      </c>
      <c r="T12" s="257">
        <v>115.72404366047181</v>
      </c>
      <c r="U12" s="257">
        <v>155.4957525280484</v>
      </c>
      <c r="V12" s="97">
        <f t="shared" si="1"/>
        <v>0.34367714443391439</v>
      </c>
      <c r="W12" s="256">
        <v>131.63999999999999</v>
      </c>
      <c r="X12" s="257">
        <v>68.33</v>
      </c>
      <c r="Y12" s="257">
        <v>107.98</v>
      </c>
      <c r="Z12" s="257">
        <v>111.7</v>
      </c>
      <c r="AA12" s="257">
        <v>160.54</v>
      </c>
      <c r="AB12" s="97">
        <f t="shared" si="2"/>
        <v>0.43724261414503118</v>
      </c>
      <c r="AD12" s="24" t="s">
        <v>49</v>
      </c>
      <c r="AE12" s="258">
        <v>17168380.200000003</v>
      </c>
      <c r="AF12" s="70">
        <v>47355429.740000002</v>
      </c>
      <c r="AG12" s="70">
        <v>46270284.170000002</v>
      </c>
      <c r="AH12" s="70">
        <v>47401910.479999997</v>
      </c>
      <c r="AI12" s="70">
        <v>79887658.719999999</v>
      </c>
      <c r="AJ12" s="97">
        <f t="shared" si="3"/>
        <v>0.68532571601109882</v>
      </c>
      <c r="AK12" s="70">
        <f t="shared" si="4"/>
        <v>32485748.240000002</v>
      </c>
      <c r="AL12" s="124">
        <f t="shared" si="5"/>
        <v>4.6674856010834716E-2</v>
      </c>
      <c r="AM12" s="259">
        <v>5639528.5</v>
      </c>
      <c r="AN12" s="260">
        <v>3496943.42</v>
      </c>
      <c r="AO12" s="260">
        <v>3585149.9899999998</v>
      </c>
      <c r="AP12" s="260">
        <v>5852209.29</v>
      </c>
      <c r="AQ12" s="260">
        <v>8410683.2899999991</v>
      </c>
      <c r="AR12" s="97">
        <f t="shared" si="6"/>
        <v>0.43718087874468337</v>
      </c>
      <c r="AS12" s="70">
        <f t="shared" si="7"/>
        <v>2558473.9999999991</v>
      </c>
      <c r="AT12" s="97">
        <f t="shared" si="8"/>
        <v>0.49138058084111091</v>
      </c>
      <c r="AU12" s="70">
        <f t="shared" si="9"/>
        <v>2771154.7899999991</v>
      </c>
      <c r="AV12" s="124">
        <f t="shared" si="10"/>
        <v>4.674821979428645E-2</v>
      </c>
    </row>
    <row r="13" spans="2:48" x14ac:dyDescent="0.25">
      <c r="B13" s="24" t="s">
        <v>50</v>
      </c>
      <c r="C13" s="256">
        <v>47.450132738962132</v>
      </c>
      <c r="D13" s="257">
        <v>57.318687381177277</v>
      </c>
      <c r="E13" s="257">
        <v>64.195498656668704</v>
      </c>
      <c r="F13" s="257">
        <v>73.065673113639576</v>
      </c>
      <c r="G13" s="257">
        <v>80.934817149587488</v>
      </c>
      <c r="H13" s="97">
        <f t="shared" si="11"/>
        <v>0.10769960366626585</v>
      </c>
      <c r="I13" s="256">
        <v>55.04</v>
      </c>
      <c r="J13" s="257">
        <v>59.93</v>
      </c>
      <c r="K13" s="257">
        <v>63.77</v>
      </c>
      <c r="L13" s="257">
        <v>73.88</v>
      </c>
      <c r="M13" s="257">
        <v>78.510000000000005</v>
      </c>
      <c r="N13" s="97">
        <f t="shared" si="0"/>
        <v>6.2669193286410518E-2</v>
      </c>
      <c r="P13" s="24" t="s">
        <v>50</v>
      </c>
      <c r="Q13" s="256">
        <v>24.38474173607058</v>
      </c>
      <c r="R13" s="257">
        <v>39.60714537859338</v>
      </c>
      <c r="S13" s="257">
        <v>50.121667199245827</v>
      </c>
      <c r="T13" s="257">
        <v>59.421838698956016</v>
      </c>
      <c r="U13" s="257">
        <v>65.479791441501249</v>
      </c>
      <c r="V13" s="97">
        <f t="shared" si="1"/>
        <v>0.10194825463473367</v>
      </c>
      <c r="W13" s="256">
        <v>36.119999999999997</v>
      </c>
      <c r="X13" s="257">
        <v>43.45</v>
      </c>
      <c r="Y13" s="257">
        <v>48.08</v>
      </c>
      <c r="Z13" s="257">
        <v>60.91</v>
      </c>
      <c r="AA13" s="257">
        <v>63.5</v>
      </c>
      <c r="AB13" s="97">
        <f t="shared" si="2"/>
        <v>4.252175340666553E-2</v>
      </c>
      <c r="AD13" s="24" t="s">
        <v>50</v>
      </c>
      <c r="AE13" s="258">
        <v>35095905.910000004</v>
      </c>
      <c r="AF13" s="70">
        <v>107239354.64999999</v>
      </c>
      <c r="AG13" s="70">
        <v>142318096.10999998</v>
      </c>
      <c r="AH13" s="70">
        <v>176578922.98000002</v>
      </c>
      <c r="AI13" s="70">
        <v>192517708.56999999</v>
      </c>
      <c r="AJ13" s="97">
        <f t="shared" si="3"/>
        <v>9.026437199305648E-2</v>
      </c>
      <c r="AK13" s="70">
        <f t="shared" si="4"/>
        <v>15938785.589999974</v>
      </c>
      <c r="AL13" s="124">
        <f t="shared" si="5"/>
        <v>0.11247965544383888</v>
      </c>
      <c r="AM13" s="259">
        <v>8550959.7800000012</v>
      </c>
      <c r="AN13" s="260">
        <v>11817210.33</v>
      </c>
      <c r="AO13" s="260">
        <v>14100678.85</v>
      </c>
      <c r="AP13" s="260">
        <v>18433014.07</v>
      </c>
      <c r="AQ13" s="260">
        <v>19122610.810000002</v>
      </c>
      <c r="AR13" s="97">
        <f t="shared" si="6"/>
        <v>3.7410959346162009E-2</v>
      </c>
      <c r="AS13" s="70">
        <f t="shared" si="7"/>
        <v>689596.74000000209</v>
      </c>
      <c r="AT13" s="97">
        <f t="shared" si="8"/>
        <v>1.2363116307395376</v>
      </c>
      <c r="AU13" s="70">
        <f t="shared" si="9"/>
        <v>10571651.030000001</v>
      </c>
      <c r="AV13" s="124">
        <f t="shared" si="10"/>
        <v>0.10628720430471449</v>
      </c>
    </row>
    <row r="14" spans="2:48" x14ac:dyDescent="0.25">
      <c r="B14" s="24" t="s">
        <v>51</v>
      </c>
      <c r="C14" s="256">
        <v>80.948722675720077</v>
      </c>
      <c r="D14" s="257">
        <v>86.773208315154108</v>
      </c>
      <c r="E14" s="257">
        <v>94.378713253141612</v>
      </c>
      <c r="F14" s="257">
        <v>105.1466187367452</v>
      </c>
      <c r="G14" s="257">
        <v>113.15911400216702</v>
      </c>
      <c r="H14" s="97">
        <f t="shared" si="11"/>
        <v>7.620307111807989E-2</v>
      </c>
      <c r="I14" s="256">
        <v>90.53</v>
      </c>
      <c r="J14" s="257">
        <v>96.39</v>
      </c>
      <c r="K14" s="257">
        <v>100.96</v>
      </c>
      <c r="L14" s="257">
        <v>101.59</v>
      </c>
      <c r="M14" s="257">
        <v>111.47</v>
      </c>
      <c r="N14" s="97">
        <f t="shared" si="0"/>
        <v>9.7253666699478325E-2</v>
      </c>
      <c r="P14" s="24" t="s">
        <v>51</v>
      </c>
      <c r="Q14" s="256">
        <v>39.684624601958497</v>
      </c>
      <c r="R14" s="257">
        <v>62.210445017014813</v>
      </c>
      <c r="S14" s="257">
        <v>69.24384642754039</v>
      </c>
      <c r="T14" s="257">
        <v>77.175114123840046</v>
      </c>
      <c r="U14" s="257">
        <v>85.133704768031464</v>
      </c>
      <c r="V14" s="97">
        <f t="shared" si="1"/>
        <v>0.10312379495054014</v>
      </c>
      <c r="W14" s="256">
        <v>60.96</v>
      </c>
      <c r="X14" s="257">
        <v>68.819999999999993</v>
      </c>
      <c r="Y14" s="257">
        <v>73.47</v>
      </c>
      <c r="Z14" s="257">
        <v>78.17</v>
      </c>
      <c r="AA14" s="257">
        <v>91.54</v>
      </c>
      <c r="AB14" s="97">
        <f t="shared" si="2"/>
        <v>0.17103748241013172</v>
      </c>
      <c r="AD14" s="24" t="s">
        <v>51</v>
      </c>
      <c r="AE14" s="258">
        <v>3147617.49</v>
      </c>
      <c r="AF14" s="70">
        <v>6282253.6500000004</v>
      </c>
      <c r="AG14" s="70">
        <v>7104001.6600000001</v>
      </c>
      <c r="AH14" s="70">
        <v>8097168.79</v>
      </c>
      <c r="AI14" s="70">
        <v>8903106.7200000007</v>
      </c>
      <c r="AJ14" s="97">
        <f t="shared" si="3"/>
        <v>9.9533299959775334E-2</v>
      </c>
      <c r="AK14" s="70">
        <f t="shared" si="4"/>
        <v>805937.93000000063</v>
      </c>
      <c r="AL14" s="124">
        <f t="shared" si="5"/>
        <v>5.2016948658061141E-3</v>
      </c>
      <c r="AM14" s="259">
        <v>597169.05000000005</v>
      </c>
      <c r="AN14" s="260">
        <v>723208.70000000007</v>
      </c>
      <c r="AO14" s="260">
        <v>783456.5</v>
      </c>
      <c r="AP14" s="260">
        <v>833572.83000000007</v>
      </c>
      <c r="AQ14" s="260">
        <v>976207.34</v>
      </c>
      <c r="AR14" s="97">
        <f t="shared" si="6"/>
        <v>0.1711122350281018</v>
      </c>
      <c r="AS14" s="70">
        <f t="shared" si="7"/>
        <v>142634.50999999989</v>
      </c>
      <c r="AT14" s="97">
        <f t="shared" si="8"/>
        <v>0.63472527586618877</v>
      </c>
      <c r="AU14" s="70">
        <f t="shared" si="9"/>
        <v>379038.28999999992</v>
      </c>
      <c r="AV14" s="124">
        <f t="shared" si="10"/>
        <v>5.4259509865714753E-3</v>
      </c>
    </row>
    <row r="15" spans="2:48" x14ac:dyDescent="0.25">
      <c r="B15" s="24" t="s">
        <v>52</v>
      </c>
      <c r="C15" s="256">
        <v>127.97927657012936</v>
      </c>
      <c r="D15" s="257">
        <v>125.13765649100519</v>
      </c>
      <c r="E15" s="257">
        <v>147.44476384412403</v>
      </c>
      <c r="F15" s="257">
        <v>162.97701786575212</v>
      </c>
      <c r="G15" s="257">
        <v>187.76055876761239</v>
      </c>
      <c r="H15" s="97">
        <f t="shared" si="11"/>
        <v>0.15206770394016567</v>
      </c>
      <c r="I15" s="256">
        <v>124.48</v>
      </c>
      <c r="J15" s="257">
        <v>143.53</v>
      </c>
      <c r="K15" s="257">
        <v>187.62</v>
      </c>
      <c r="L15" s="257">
        <v>173.54</v>
      </c>
      <c r="M15" s="257">
        <v>186.02</v>
      </c>
      <c r="N15" s="97">
        <f t="shared" si="0"/>
        <v>7.1914256079290251E-2</v>
      </c>
      <c r="P15" s="24" t="s">
        <v>52</v>
      </c>
      <c r="Q15" s="256">
        <v>79.240046035654913</v>
      </c>
      <c r="R15" s="257">
        <v>92.879581047894987</v>
      </c>
      <c r="S15" s="257">
        <v>119.79058866278812</v>
      </c>
      <c r="T15" s="257">
        <v>139.64471114150425</v>
      </c>
      <c r="U15" s="257">
        <v>158.71550481629907</v>
      </c>
      <c r="V15" s="97">
        <f t="shared" si="1"/>
        <v>0.13656653029608901</v>
      </c>
      <c r="W15" s="256">
        <v>94.07</v>
      </c>
      <c r="X15" s="257">
        <v>106.99</v>
      </c>
      <c r="Y15" s="257">
        <v>151.55000000000001</v>
      </c>
      <c r="Z15" s="257">
        <v>147.13</v>
      </c>
      <c r="AA15" s="257">
        <v>160.01</v>
      </c>
      <c r="AB15" s="97">
        <f t="shared" si="2"/>
        <v>8.7541629851151992E-2</v>
      </c>
      <c r="AD15" s="24" t="s">
        <v>52</v>
      </c>
      <c r="AE15" s="258">
        <v>22237456.779999997</v>
      </c>
      <c r="AF15" s="70">
        <v>46052220.759999998</v>
      </c>
      <c r="AG15" s="70">
        <v>64951309.950000003</v>
      </c>
      <c r="AH15" s="70">
        <v>76152822.640000001</v>
      </c>
      <c r="AI15" s="70">
        <v>84451593.140000001</v>
      </c>
      <c r="AJ15" s="97">
        <f t="shared" si="3"/>
        <v>0.10897521867614923</v>
      </c>
      <c r="AK15" s="70">
        <f t="shared" si="4"/>
        <v>8298770.5</v>
      </c>
      <c r="AL15" s="124">
        <f t="shared" si="5"/>
        <v>4.9341362769319337E-2</v>
      </c>
      <c r="AM15" s="259">
        <v>4490872.0999999996</v>
      </c>
      <c r="AN15" s="260">
        <v>5920144.1799999997</v>
      </c>
      <c r="AO15" s="260">
        <v>8320254.0800000001</v>
      </c>
      <c r="AP15" s="260">
        <v>8154875.0800000001</v>
      </c>
      <c r="AQ15" s="260">
        <v>8412699.7200000007</v>
      </c>
      <c r="AR15" s="97">
        <f t="shared" si="6"/>
        <v>3.1616013423960476E-2</v>
      </c>
      <c r="AS15" s="70">
        <f t="shared" si="7"/>
        <v>257824.6400000006</v>
      </c>
      <c r="AT15" s="97">
        <f t="shared" si="8"/>
        <v>0.87328864698685171</v>
      </c>
      <c r="AU15" s="70">
        <f t="shared" si="9"/>
        <v>3921827.620000001</v>
      </c>
      <c r="AV15" s="124">
        <f t="shared" si="10"/>
        <v>4.6759427505906254E-2</v>
      </c>
    </row>
    <row r="16" spans="2:48" x14ac:dyDescent="0.25">
      <c r="B16" s="24" t="s">
        <v>53</v>
      </c>
      <c r="C16" s="256">
        <v>65.985131208502693</v>
      </c>
      <c r="D16" s="257">
        <v>74.95833179818203</v>
      </c>
      <c r="E16" s="257">
        <v>84.88833158174431</v>
      </c>
      <c r="F16" s="257">
        <v>93.945255857347234</v>
      </c>
      <c r="G16" s="257">
        <v>100.44722985750737</v>
      </c>
      <c r="H16" s="97">
        <f t="shared" si="11"/>
        <v>6.9210243144509187E-2</v>
      </c>
      <c r="I16" s="256">
        <v>71.91</v>
      </c>
      <c r="J16" s="257">
        <v>73.739999999999995</v>
      </c>
      <c r="K16" s="257">
        <v>86.81</v>
      </c>
      <c r="L16" s="257">
        <v>94.49</v>
      </c>
      <c r="M16" s="257">
        <v>102.48</v>
      </c>
      <c r="N16" s="97">
        <f t="shared" si="0"/>
        <v>8.4559212615091583E-2</v>
      </c>
      <c r="P16" s="24" t="s">
        <v>53</v>
      </c>
      <c r="Q16" s="256">
        <v>32.787472687432526</v>
      </c>
      <c r="R16" s="257">
        <v>51.213056351013826</v>
      </c>
      <c r="S16" s="257">
        <v>59.584620895962203</v>
      </c>
      <c r="T16" s="257">
        <v>65.923131684236068</v>
      </c>
      <c r="U16" s="257">
        <v>73.337345263661035</v>
      </c>
      <c r="V16" s="97">
        <f t="shared" si="1"/>
        <v>0.1124675571381859</v>
      </c>
      <c r="W16" s="256">
        <v>48.57</v>
      </c>
      <c r="X16" s="257">
        <v>50.3</v>
      </c>
      <c r="Y16" s="257">
        <v>65.09</v>
      </c>
      <c r="Z16" s="257">
        <v>67.97</v>
      </c>
      <c r="AA16" s="257">
        <v>82.61</v>
      </c>
      <c r="AB16" s="97">
        <f t="shared" si="2"/>
        <v>0.21538914226864803</v>
      </c>
      <c r="AD16" s="24" t="s">
        <v>53</v>
      </c>
      <c r="AE16" s="258">
        <v>11769764.359999999</v>
      </c>
      <c r="AF16" s="70">
        <v>21970703.760000002</v>
      </c>
      <c r="AG16" s="70">
        <v>26849083.819999993</v>
      </c>
      <c r="AH16" s="70">
        <v>28977089.249999996</v>
      </c>
      <c r="AI16" s="70">
        <v>31369040.650000006</v>
      </c>
      <c r="AJ16" s="97">
        <f t="shared" si="3"/>
        <v>8.2546296467648439E-2</v>
      </c>
      <c r="AK16" s="70">
        <f t="shared" si="4"/>
        <v>2391951.4000000097</v>
      </c>
      <c r="AL16" s="124">
        <f t="shared" si="5"/>
        <v>1.8327554956498186E-2</v>
      </c>
      <c r="AM16" s="259">
        <v>1971084.55</v>
      </c>
      <c r="AN16" s="260">
        <v>2374904.89</v>
      </c>
      <c r="AO16" s="260">
        <v>2956131.67</v>
      </c>
      <c r="AP16" s="260">
        <v>2956436.22</v>
      </c>
      <c r="AQ16" s="260">
        <v>3600739.58</v>
      </c>
      <c r="AR16" s="97">
        <f t="shared" si="6"/>
        <v>0.21793244029461922</v>
      </c>
      <c r="AS16" s="70">
        <f t="shared" si="7"/>
        <v>644303.35999999987</v>
      </c>
      <c r="AT16" s="97">
        <f t="shared" si="8"/>
        <v>0.82678088568042396</v>
      </c>
      <c r="AU16" s="70">
        <f t="shared" si="9"/>
        <v>1629655.03</v>
      </c>
      <c r="AV16" s="124">
        <f t="shared" si="10"/>
        <v>2.0013613579762637E-2</v>
      </c>
    </row>
    <row r="17" spans="2:48" x14ac:dyDescent="0.25">
      <c r="B17" s="24" t="s">
        <v>54</v>
      </c>
      <c r="C17" s="256">
        <v>92.017027225659177</v>
      </c>
      <c r="D17" s="257">
        <v>113.0872922383201</v>
      </c>
      <c r="E17" s="257">
        <v>127.44234677491134</v>
      </c>
      <c r="F17" s="257">
        <v>140.73387912372309</v>
      </c>
      <c r="G17" s="257">
        <v>116.73136478409896</v>
      </c>
      <c r="H17" s="97">
        <f t="shared" si="11"/>
        <v>-0.17055249588141352</v>
      </c>
      <c r="I17" s="256">
        <v>103.01</v>
      </c>
      <c r="J17" s="257">
        <v>109.34</v>
      </c>
      <c r="K17" s="257">
        <v>129.44999999999999</v>
      </c>
      <c r="L17" s="257">
        <v>135.47</v>
      </c>
      <c r="M17" s="257">
        <v>117.52</v>
      </c>
      <c r="N17" s="97">
        <f t="shared" si="0"/>
        <v>-0.13250166088432869</v>
      </c>
      <c r="P17" s="24" t="s">
        <v>54</v>
      </c>
      <c r="Q17" s="256">
        <v>44.946421724704699</v>
      </c>
      <c r="R17" s="257">
        <v>86.024751063512028</v>
      </c>
      <c r="S17" s="257">
        <v>106.83229828268632</v>
      </c>
      <c r="T17" s="257">
        <v>121.29087797837335</v>
      </c>
      <c r="U17" s="257">
        <v>100.29566532833482</v>
      </c>
      <c r="V17" s="97">
        <f t="shared" si="1"/>
        <v>-0.1730980350705521</v>
      </c>
      <c r="W17" s="256">
        <v>75.25</v>
      </c>
      <c r="X17" s="257">
        <v>88.28</v>
      </c>
      <c r="Y17" s="257">
        <v>112.03</v>
      </c>
      <c r="Z17" s="257">
        <v>119.51</v>
      </c>
      <c r="AA17" s="257">
        <v>103.75</v>
      </c>
      <c r="AB17" s="97">
        <f t="shared" si="2"/>
        <v>-0.13187180989038583</v>
      </c>
      <c r="AD17" s="24" t="s">
        <v>54</v>
      </c>
      <c r="AE17" s="258">
        <v>21094010.550000001</v>
      </c>
      <c r="AF17" s="70">
        <v>71165589.230000004</v>
      </c>
      <c r="AG17" s="70">
        <v>87274244.25999999</v>
      </c>
      <c r="AH17" s="70">
        <v>100696035.88</v>
      </c>
      <c r="AI17" s="70">
        <v>83572907.950000003</v>
      </c>
      <c r="AJ17" s="97">
        <f t="shared" si="3"/>
        <v>-0.17004768638961831</v>
      </c>
      <c r="AK17" s="70">
        <f t="shared" si="4"/>
        <v>-17123127.929999992</v>
      </c>
      <c r="AL17" s="124">
        <f t="shared" si="5"/>
        <v>4.8827985542107703E-2</v>
      </c>
      <c r="AM17" s="259">
        <v>6347079.2800000003</v>
      </c>
      <c r="AN17" s="260">
        <v>7449049.7999999998</v>
      </c>
      <c r="AO17" s="260">
        <v>9452902.6199999992</v>
      </c>
      <c r="AP17" s="260">
        <v>10084901.09</v>
      </c>
      <c r="AQ17" s="260">
        <v>8815351.6100000013</v>
      </c>
      <c r="AR17" s="97">
        <f t="shared" si="6"/>
        <v>-0.12588616077344184</v>
      </c>
      <c r="AS17" s="70">
        <f t="shared" si="7"/>
        <v>-1269549.4799999986</v>
      </c>
      <c r="AT17" s="97">
        <f t="shared" si="8"/>
        <v>0.3888831730490061</v>
      </c>
      <c r="AU17" s="70">
        <f t="shared" si="9"/>
        <v>2468272.330000001</v>
      </c>
      <c r="AV17" s="124">
        <f t="shared" si="10"/>
        <v>4.8997445322685192E-2</v>
      </c>
    </row>
    <row r="18" spans="2:48" x14ac:dyDescent="0.25">
      <c r="B18" s="29" t="s">
        <v>55</v>
      </c>
      <c r="C18" s="256">
        <v>73.294100594892853</v>
      </c>
      <c r="D18" s="257">
        <v>61.652109414583634</v>
      </c>
      <c r="E18" s="257">
        <v>67.546040342056017</v>
      </c>
      <c r="F18" s="257">
        <v>70.370182125111114</v>
      </c>
      <c r="G18" s="257">
        <v>71.403299344041088</v>
      </c>
      <c r="H18" s="97">
        <f t="shared" si="11"/>
        <v>1.4681178699995412E-2</v>
      </c>
      <c r="I18" s="256">
        <v>75.3</v>
      </c>
      <c r="J18" s="257">
        <v>63.81</v>
      </c>
      <c r="K18" s="257">
        <v>71.709999999999994</v>
      </c>
      <c r="L18" s="257">
        <v>69.08</v>
      </c>
      <c r="M18" s="257">
        <v>70.22</v>
      </c>
      <c r="N18" s="97">
        <f t="shared" si="0"/>
        <v>1.6502605674580284E-2</v>
      </c>
      <c r="P18" s="29" t="s">
        <v>55</v>
      </c>
      <c r="Q18" s="256">
        <v>24.475639271899219</v>
      </c>
      <c r="R18" s="257">
        <v>39.834097092059451</v>
      </c>
      <c r="S18" s="257">
        <v>51.340786959775144</v>
      </c>
      <c r="T18" s="257">
        <v>53.985598568714423</v>
      </c>
      <c r="U18" s="257">
        <v>53.447182822558446</v>
      </c>
      <c r="V18" s="97">
        <f t="shared" si="1"/>
        <v>-9.9733217826725173E-3</v>
      </c>
      <c r="W18" s="256">
        <v>38.57</v>
      </c>
      <c r="X18" s="257">
        <v>39.69</v>
      </c>
      <c r="Y18" s="257">
        <v>49.04</v>
      </c>
      <c r="Z18" s="257">
        <v>50.64</v>
      </c>
      <c r="AA18" s="257">
        <v>49.19</v>
      </c>
      <c r="AB18" s="97">
        <f t="shared" si="2"/>
        <v>-2.8633491311216508E-2</v>
      </c>
      <c r="AD18" s="29" t="s">
        <v>55</v>
      </c>
      <c r="AE18" s="258">
        <v>8558752.5500000007</v>
      </c>
      <c r="AF18" s="70">
        <v>15854986.770000001</v>
      </c>
      <c r="AG18" s="70">
        <v>19060381.48</v>
      </c>
      <c r="AH18" s="70">
        <v>20861853.960000001</v>
      </c>
      <c r="AI18" s="70">
        <v>20664659.630000003</v>
      </c>
      <c r="AJ18" s="97">
        <f t="shared" si="3"/>
        <v>-9.4523876151224595E-3</v>
      </c>
      <c r="AK18" s="70">
        <f t="shared" si="4"/>
        <v>-197194.32999999821</v>
      </c>
      <c r="AL18" s="124">
        <f t="shared" si="5"/>
        <v>1.2073454500947718E-2</v>
      </c>
      <c r="AM18" s="259">
        <v>1713261.8</v>
      </c>
      <c r="AN18" s="260">
        <v>1508609.47</v>
      </c>
      <c r="AO18" s="260">
        <v>1883673.1800000002</v>
      </c>
      <c r="AP18" s="260">
        <v>2004545.95</v>
      </c>
      <c r="AQ18" s="260">
        <v>1947284.1800000002</v>
      </c>
      <c r="AR18" s="97">
        <f t="shared" si="6"/>
        <v>-2.8565955297756962E-2</v>
      </c>
      <c r="AS18" s="70">
        <f t="shared" si="7"/>
        <v>-57261.769999999786</v>
      </c>
      <c r="AT18" s="97">
        <f t="shared" si="8"/>
        <v>0.1365946407023142</v>
      </c>
      <c r="AU18" s="70">
        <f t="shared" si="9"/>
        <v>234022.38000000012</v>
      </c>
      <c r="AV18" s="124">
        <f t="shared" si="10"/>
        <v>1.0823385652484469E-2</v>
      </c>
    </row>
    <row r="19" spans="2:48" x14ac:dyDescent="0.25">
      <c r="B19" s="127"/>
      <c r="C19" s="128"/>
      <c r="D19" s="128"/>
      <c r="E19" s="128"/>
      <c r="F19" s="128"/>
      <c r="G19" s="129"/>
      <c r="H19" s="128"/>
      <c r="I19" s="128"/>
      <c r="J19" s="128"/>
      <c r="K19" s="128"/>
      <c r="L19" s="128"/>
      <c r="M19" s="130"/>
      <c r="N19" s="130"/>
      <c r="P19" s="127"/>
      <c r="Q19" s="128"/>
      <c r="R19" s="128"/>
      <c r="S19" s="128"/>
      <c r="T19" s="128"/>
      <c r="U19" s="129"/>
      <c r="V19" s="128"/>
      <c r="W19" s="128"/>
      <c r="X19" s="128"/>
      <c r="Y19" s="128"/>
      <c r="Z19" s="128"/>
      <c r="AA19" s="130"/>
      <c r="AB19" s="130"/>
      <c r="AD19" s="127"/>
      <c r="AE19" s="127"/>
      <c r="AF19" s="127"/>
      <c r="AG19" s="127"/>
      <c r="AH19" s="128"/>
      <c r="AI19" s="129"/>
      <c r="AJ19" s="130"/>
      <c r="AK19" s="130"/>
      <c r="AL19" s="130"/>
      <c r="AM19" s="128"/>
      <c r="AN19" s="128"/>
      <c r="AO19" s="128"/>
      <c r="AP19" s="128"/>
      <c r="AQ19" s="130"/>
      <c r="AR19" s="130"/>
      <c r="AS19" s="130"/>
      <c r="AT19" s="130"/>
      <c r="AU19" s="261"/>
      <c r="AV19" s="130"/>
    </row>
    <row r="20" spans="2:48" x14ac:dyDescent="0.25">
      <c r="B20" s="131" t="s">
        <v>57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P20" s="131" t="s">
        <v>57</v>
      </c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D20" s="131" t="s">
        <v>57</v>
      </c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</row>
    <row r="21" spans="2:48" ht="39" customHeight="1" x14ac:dyDescent="0.25">
      <c r="B21" s="65" t="s">
        <v>169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P21" s="65" t="s">
        <v>170</v>
      </c>
      <c r="Q21" s="65"/>
      <c r="R21" s="65"/>
      <c r="S21" s="65"/>
      <c r="T21" s="65"/>
      <c r="U21" s="65"/>
      <c r="V21" s="65"/>
      <c r="W21" s="65"/>
      <c r="X21" s="262"/>
      <c r="Y21" s="262"/>
      <c r="Z21" s="262"/>
      <c r="AA21" s="262"/>
      <c r="AB21" s="262"/>
      <c r="AD21" s="263" t="s">
        <v>171</v>
      </c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63"/>
      <c r="AP21" s="263"/>
      <c r="AQ21" s="263"/>
      <c r="AR21" s="263"/>
      <c r="AS21" s="263"/>
      <c r="AT21" s="263"/>
      <c r="AU21" s="263"/>
      <c r="AV21" s="263"/>
    </row>
    <row r="22" spans="2:48" ht="24" customHeight="1" x14ac:dyDescent="0.25">
      <c r="B22" s="65" t="s">
        <v>172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P22" s="264" t="s">
        <v>173</v>
      </c>
      <c r="Q22" s="264"/>
      <c r="R22" s="264"/>
      <c r="S22" s="264"/>
      <c r="T22" s="264"/>
      <c r="U22" s="264"/>
      <c r="V22" s="264"/>
      <c r="W22" s="264"/>
      <c r="X22" s="265"/>
      <c r="Y22" s="265"/>
      <c r="Z22" s="265"/>
      <c r="AA22" s="265"/>
      <c r="AB22" s="265"/>
      <c r="AQ22" s="70">
        <f>AQ11/M11</f>
        <v>9963.4589048734251</v>
      </c>
    </row>
    <row r="23" spans="2:48" x14ac:dyDescent="0.25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</row>
    <row r="27" spans="2:48" ht="50.25" customHeight="1" thickBot="1" x14ac:dyDescent="0.3">
      <c r="B27" s="12" t="s">
        <v>174</v>
      </c>
      <c r="C27" s="12"/>
      <c r="D27" s="12"/>
      <c r="E27" s="12"/>
      <c r="F27" s="12"/>
      <c r="G27" s="12"/>
      <c r="H27" s="12"/>
      <c r="I27" s="173"/>
      <c r="P27" s="12" t="s">
        <v>175</v>
      </c>
      <c r="Q27" s="12"/>
      <c r="R27" s="12"/>
      <c r="S27" s="12"/>
      <c r="T27" s="12"/>
      <c r="U27" s="12"/>
      <c r="V27" s="12"/>
      <c r="W27" s="12"/>
      <c r="AE27" s="12" t="s">
        <v>176</v>
      </c>
      <c r="AF27" s="12"/>
      <c r="AG27" s="12"/>
      <c r="AH27" s="12"/>
      <c r="AI27" s="12"/>
      <c r="AJ27" s="12"/>
      <c r="AK27" s="12"/>
      <c r="AL27" s="173"/>
    </row>
    <row r="28" spans="2:48" ht="6" customHeight="1" thickBot="1" x14ac:dyDescent="0.3">
      <c r="B28" s="107"/>
      <c r="C28" s="107"/>
      <c r="D28" s="107"/>
      <c r="E28" s="107"/>
      <c r="F28" s="107"/>
      <c r="G28" s="107"/>
      <c r="H28" s="107"/>
      <c r="I28" s="108"/>
      <c r="P28" s="107"/>
      <c r="Q28" s="107"/>
      <c r="R28" s="107"/>
      <c r="S28" s="107"/>
      <c r="T28" s="107"/>
      <c r="U28" s="107"/>
      <c r="V28" s="107"/>
      <c r="W28" s="108"/>
      <c r="AE28" s="108"/>
      <c r="AF28" s="108"/>
      <c r="AG28" s="108"/>
      <c r="AH28" s="108"/>
      <c r="AI28" s="108"/>
      <c r="AJ28" s="108"/>
      <c r="AK28" s="108"/>
      <c r="AL28" s="108"/>
    </row>
    <row r="29" spans="2:48" ht="30.75" thickBot="1" x14ac:dyDescent="0.3">
      <c r="B29" s="109"/>
      <c r="C29" s="218">
        <v>2020</v>
      </c>
      <c r="D29" s="218">
        <v>2021</v>
      </c>
      <c r="E29" s="218">
        <v>2022</v>
      </c>
      <c r="F29" s="218">
        <v>2023</v>
      </c>
      <c r="G29" s="218">
        <v>2024</v>
      </c>
      <c r="H29" s="15" t="str">
        <f>CONCATENATE("var. ",RIGHT(G29,2),"/",RIGHT(F29,2))</f>
        <v>var. 24/23</v>
      </c>
      <c r="I29" s="246" t="str">
        <f>CONCATENATE("dif. ",RIGHT(G29,2),"/",RIGHT(F29,2))</f>
        <v>dif. 24/23</v>
      </c>
      <c r="P29" s="109"/>
      <c r="Q29" s="218">
        <v>2020</v>
      </c>
      <c r="R29" s="218">
        <v>2021</v>
      </c>
      <c r="S29" s="218">
        <v>2022</v>
      </c>
      <c r="T29" s="218">
        <v>2023</v>
      </c>
      <c r="U29" s="218">
        <v>2024</v>
      </c>
      <c r="V29" s="15" t="str">
        <f>CONCATENATE("var. ",RIGHT(U29,2),"/",RIGHT(T29,2))</f>
        <v>var. 24/23</v>
      </c>
      <c r="W29" s="246" t="str">
        <f>CONCATENATE("dif. ",RIGHT(U29,2),"/",RIGHT(T29,2))</f>
        <v>dif. 24/23</v>
      </c>
      <c r="AE29" s="109"/>
      <c r="AF29" s="218">
        <v>2020</v>
      </c>
      <c r="AG29" s="218">
        <v>2021</v>
      </c>
      <c r="AH29" s="218">
        <v>2022</v>
      </c>
      <c r="AI29" s="218">
        <v>2023</v>
      </c>
      <c r="AJ29" s="218">
        <v>2024</v>
      </c>
      <c r="AK29" s="15" t="str">
        <f>CONCATENATE("var. ",RIGHT(AJ29,2),"/",RIGHT(AI29,2))</f>
        <v>var. 24/23</v>
      </c>
      <c r="AL29" s="246" t="str">
        <f>CONCATENATE("dif. ",RIGHT(AJ29,2),"/",RIGHT(AI29,2))</f>
        <v>dif. 24/23</v>
      </c>
    </row>
    <row r="30" spans="2:48" ht="15.75" x14ac:dyDescent="0.25">
      <c r="B30" s="248" t="s">
        <v>45</v>
      </c>
      <c r="C30" s="249">
        <v>95.01</v>
      </c>
      <c r="D30" s="249">
        <v>99.07</v>
      </c>
      <c r="E30" s="249">
        <v>105.63</v>
      </c>
      <c r="F30" s="249">
        <v>113.88</v>
      </c>
      <c r="G30" s="249">
        <v>125.25</v>
      </c>
      <c r="H30" s="163">
        <f>G30/F30-1</f>
        <v>9.984193888303472E-2</v>
      </c>
      <c r="I30" s="249">
        <f>G30-F30</f>
        <v>11.370000000000005</v>
      </c>
      <c r="P30" s="248" t="s">
        <v>45</v>
      </c>
      <c r="Q30" s="249">
        <v>48.13</v>
      </c>
      <c r="R30" s="249">
        <v>53</v>
      </c>
      <c r="S30" s="249">
        <v>80.58</v>
      </c>
      <c r="T30" s="249">
        <v>93.24</v>
      </c>
      <c r="U30" s="249">
        <v>104.71</v>
      </c>
      <c r="V30" s="163">
        <f>U30/T30-1</f>
        <v>0.12301587301587302</v>
      </c>
      <c r="W30" s="249">
        <f>U30-T30</f>
        <v>11.469999999999999</v>
      </c>
      <c r="AE30" s="248" t="s">
        <v>45</v>
      </c>
      <c r="AF30" s="254">
        <v>476771371.47999996</v>
      </c>
      <c r="AG30" s="254">
        <v>651901800.17999995</v>
      </c>
      <c r="AH30" s="254">
        <v>1528879517.8</v>
      </c>
      <c r="AI30" s="254">
        <v>1797799676.5999999</v>
      </c>
      <c r="AJ30" s="254">
        <v>2045218052.5</v>
      </c>
      <c r="AK30" s="163">
        <f>AJ30/AI30-1</f>
        <v>0.13762288375082909</v>
      </c>
      <c r="AL30" s="162">
        <f>AJ30-AI30</f>
        <v>247418375.9000001</v>
      </c>
    </row>
    <row r="31" spans="2:48" ht="15.75" customHeight="1" x14ac:dyDescent="0.25">
      <c r="B31" s="18" t="s">
        <v>46</v>
      </c>
      <c r="C31" s="256">
        <v>119.42</v>
      </c>
      <c r="D31" s="256">
        <v>126.49</v>
      </c>
      <c r="E31" s="256">
        <v>131.02000000000001</v>
      </c>
      <c r="F31" s="256">
        <v>139.02000000000001</v>
      </c>
      <c r="G31" s="256">
        <v>151.54</v>
      </c>
      <c r="H31" s="97">
        <f t="shared" ref="H31:H35" si="12">G31/F31-1</f>
        <v>9.0058984318802882E-2</v>
      </c>
      <c r="I31" s="257">
        <f t="shared" ref="I31:I40" si="13">G31-F31</f>
        <v>12.519999999999982</v>
      </c>
      <c r="P31" s="18" t="s">
        <v>46</v>
      </c>
      <c r="Q31" s="256">
        <v>61.17</v>
      </c>
      <c r="R31" s="257">
        <v>72.88000000000001</v>
      </c>
      <c r="S31" s="257">
        <v>107.72</v>
      </c>
      <c r="T31" s="257">
        <v>119.35</v>
      </c>
      <c r="U31" s="257">
        <v>131.18</v>
      </c>
      <c r="V31" s="97">
        <f t="shared" ref="V31:V40" si="14">U31/T31-1</f>
        <v>9.9120234604105573E-2</v>
      </c>
      <c r="W31" s="257">
        <f t="shared" ref="W31:W40" si="15">U31-T31</f>
        <v>11.830000000000013</v>
      </c>
      <c r="AE31" s="18" t="s">
        <v>46</v>
      </c>
      <c r="AF31" s="259">
        <v>217815325.03999999</v>
      </c>
      <c r="AG31" s="260">
        <v>333738906.92999995</v>
      </c>
      <c r="AH31" s="260">
        <v>743382276.49000001</v>
      </c>
      <c r="AI31" s="260">
        <v>857710368.34000003</v>
      </c>
      <c r="AJ31" s="260">
        <v>951532629.67999995</v>
      </c>
      <c r="AK31" s="97">
        <f t="shared" ref="AK31:AK40" si="16">AJ31/AI31-1</f>
        <v>0.10938688023741872</v>
      </c>
      <c r="AL31" s="70">
        <f t="shared" ref="AL31:AL40" si="17">AJ31-AI31</f>
        <v>93822261.339999914</v>
      </c>
    </row>
    <row r="32" spans="2:48" ht="15.75" customHeight="1" x14ac:dyDescent="0.25">
      <c r="B32" s="24" t="s">
        <v>47</v>
      </c>
      <c r="C32" s="256">
        <v>89.5</v>
      </c>
      <c r="D32" s="256">
        <v>85.87</v>
      </c>
      <c r="E32" s="256">
        <v>93.47</v>
      </c>
      <c r="F32" s="256">
        <v>101.28999999999999</v>
      </c>
      <c r="G32" s="256">
        <v>115.79999999999998</v>
      </c>
      <c r="H32" s="97">
        <f t="shared" si="12"/>
        <v>0.14325204857340301</v>
      </c>
      <c r="I32" s="257">
        <f t="shared" si="13"/>
        <v>14.509999999999991</v>
      </c>
      <c r="P32" s="24" t="s">
        <v>47</v>
      </c>
      <c r="Q32" s="256">
        <v>44.55</v>
      </c>
      <c r="R32" s="257">
        <v>43.14</v>
      </c>
      <c r="S32" s="257">
        <v>71.23</v>
      </c>
      <c r="T32" s="257">
        <v>83.79</v>
      </c>
      <c r="U32" s="257">
        <v>97.120000000000019</v>
      </c>
      <c r="V32" s="97">
        <f t="shared" si="14"/>
        <v>0.15908819668218177</v>
      </c>
      <c r="W32" s="257">
        <f t="shared" si="15"/>
        <v>13.330000000000013</v>
      </c>
      <c r="AE32" s="24" t="s">
        <v>47</v>
      </c>
      <c r="AF32" s="259">
        <v>122348722.31</v>
      </c>
      <c r="AG32" s="260">
        <v>137154616.22</v>
      </c>
      <c r="AH32" s="260">
        <v>381071528.47999996</v>
      </c>
      <c r="AI32" s="260">
        <v>437636228.67000002</v>
      </c>
      <c r="AJ32" s="260">
        <v>514385231.94</v>
      </c>
      <c r="AK32" s="97">
        <f t="shared" si="16"/>
        <v>0.17537168598505737</v>
      </c>
      <c r="AL32" s="70">
        <f t="shared" si="17"/>
        <v>76749003.269999981</v>
      </c>
    </row>
    <row r="33" spans="2:39" ht="15.75" customHeight="1" x14ac:dyDescent="0.25">
      <c r="B33" s="24" t="s">
        <v>48</v>
      </c>
      <c r="C33" s="256">
        <v>70.819999999999993</v>
      </c>
      <c r="D33" s="256">
        <v>66.41</v>
      </c>
      <c r="E33" s="256">
        <v>77.45</v>
      </c>
      <c r="F33" s="256">
        <v>80.180000000000007</v>
      </c>
      <c r="G33" s="256">
        <v>89.86</v>
      </c>
      <c r="H33" s="97">
        <f t="shared" si="12"/>
        <v>0.12072836118732844</v>
      </c>
      <c r="I33" s="257">
        <f t="shared" si="13"/>
        <v>9.6799999999999926</v>
      </c>
      <c r="P33" s="24" t="s">
        <v>48</v>
      </c>
      <c r="Q33" s="256">
        <v>38.090000000000003</v>
      </c>
      <c r="R33" s="257">
        <v>36.92</v>
      </c>
      <c r="S33" s="257">
        <v>53.92</v>
      </c>
      <c r="T33" s="257">
        <v>54.70000000000001</v>
      </c>
      <c r="U33" s="257">
        <v>64.64</v>
      </c>
      <c r="V33" s="97">
        <f t="shared" si="14"/>
        <v>0.18171846435100525</v>
      </c>
      <c r="W33" s="257">
        <f t="shared" si="15"/>
        <v>9.9399999999999906</v>
      </c>
      <c r="AE33" s="24" t="s">
        <v>48</v>
      </c>
      <c r="AF33" s="259">
        <v>2812428.07</v>
      </c>
      <c r="AG33" s="260">
        <v>4381169.17</v>
      </c>
      <c r="AH33" s="260">
        <v>8179727.9700000007</v>
      </c>
      <c r="AI33" s="260">
        <v>8858381.8200000003</v>
      </c>
      <c r="AJ33" s="260">
        <v>10477086.289999999</v>
      </c>
      <c r="AK33" s="97">
        <f t="shared" si="16"/>
        <v>0.18273139529223847</v>
      </c>
      <c r="AL33" s="70">
        <f t="shared" si="17"/>
        <v>1618704.4699999988</v>
      </c>
    </row>
    <row r="34" spans="2:39" ht="15.75" customHeight="1" x14ac:dyDescent="0.25">
      <c r="B34" s="24" t="s">
        <v>49</v>
      </c>
      <c r="C34" s="256">
        <v>134.75</v>
      </c>
      <c r="D34" s="256">
        <v>154.08000000000001</v>
      </c>
      <c r="E34" s="256">
        <v>185.51</v>
      </c>
      <c r="F34" s="256">
        <v>208.16</v>
      </c>
      <c r="G34" s="256">
        <v>202.39</v>
      </c>
      <c r="H34" s="97">
        <f t="shared" si="12"/>
        <v>-2.7719062259800253E-2</v>
      </c>
      <c r="I34" s="257">
        <f t="shared" si="13"/>
        <v>-5.7700000000000102</v>
      </c>
      <c r="P34" s="24" t="s">
        <v>49</v>
      </c>
      <c r="Q34" s="256">
        <v>52.22</v>
      </c>
      <c r="R34" s="257">
        <v>46.13</v>
      </c>
      <c r="S34" s="257">
        <v>94.79</v>
      </c>
      <c r="T34" s="257">
        <v>114.31</v>
      </c>
      <c r="U34" s="257">
        <v>127.83</v>
      </c>
      <c r="V34" s="97">
        <f t="shared" si="14"/>
        <v>0.11827486659084951</v>
      </c>
      <c r="W34" s="257">
        <f t="shared" si="15"/>
        <v>13.519999999999996</v>
      </c>
      <c r="AE34" s="24" t="s">
        <v>49</v>
      </c>
      <c r="AF34" s="259">
        <v>19577887.920000002</v>
      </c>
      <c r="AG34" s="260">
        <v>22694182.549999997</v>
      </c>
      <c r="AH34" s="260">
        <v>56687870.049999997</v>
      </c>
      <c r="AI34" s="260">
        <v>62672686.410000004</v>
      </c>
      <c r="AJ34" s="260">
        <v>65406733.899999999</v>
      </c>
      <c r="AK34" s="97">
        <f t="shared" si="16"/>
        <v>4.3624226861986859E-2</v>
      </c>
      <c r="AL34" s="70">
        <f t="shared" si="17"/>
        <v>2734047.4899999946</v>
      </c>
    </row>
    <row r="35" spans="2:39" ht="15.75" customHeight="1" x14ac:dyDescent="0.25">
      <c r="B35" s="24" t="s">
        <v>50</v>
      </c>
      <c r="C35" s="256">
        <v>53.52</v>
      </c>
      <c r="D35" s="256">
        <v>51.25</v>
      </c>
      <c r="E35" s="256">
        <v>59.12</v>
      </c>
      <c r="F35" s="256">
        <v>65.87</v>
      </c>
      <c r="G35" s="256">
        <v>74.569999999999993</v>
      </c>
      <c r="H35" s="97">
        <f t="shared" si="12"/>
        <v>0.13207833611659314</v>
      </c>
      <c r="I35" s="257">
        <f t="shared" si="13"/>
        <v>8.6999999999999886</v>
      </c>
      <c r="P35" s="24" t="s">
        <v>50</v>
      </c>
      <c r="Q35" s="256">
        <v>28.760000000000005</v>
      </c>
      <c r="R35" s="257">
        <v>28.24</v>
      </c>
      <c r="S35" s="257">
        <v>42.01</v>
      </c>
      <c r="T35" s="257">
        <v>51.99</v>
      </c>
      <c r="U35" s="257">
        <v>61.31</v>
      </c>
      <c r="V35" s="97">
        <f t="shared" si="14"/>
        <v>0.17926524331602223</v>
      </c>
      <c r="W35" s="257">
        <f t="shared" si="15"/>
        <v>9.32</v>
      </c>
      <c r="AE35" s="24" t="s">
        <v>50</v>
      </c>
      <c r="AF35" s="259">
        <v>46497100.399999999</v>
      </c>
      <c r="AG35" s="260">
        <v>54944687.289999999</v>
      </c>
      <c r="AH35" s="260">
        <v>136922674.63999999</v>
      </c>
      <c r="AI35" s="260">
        <v>177625996.66999999</v>
      </c>
      <c r="AJ35" s="260">
        <v>217541794.87</v>
      </c>
      <c r="AK35" s="97">
        <f t="shared" si="16"/>
        <v>0.22471822226651339</v>
      </c>
      <c r="AL35" s="70">
        <f t="shared" si="17"/>
        <v>39915798.200000018</v>
      </c>
    </row>
    <row r="36" spans="2:39" x14ac:dyDescent="0.25">
      <c r="B36" s="24" t="s">
        <v>51</v>
      </c>
      <c r="C36" s="256">
        <v>86.79</v>
      </c>
      <c r="D36" s="256">
        <v>84.44</v>
      </c>
      <c r="E36" s="256">
        <v>89.45</v>
      </c>
      <c r="F36" s="256">
        <v>98.5</v>
      </c>
      <c r="G36" s="256">
        <v>108.5</v>
      </c>
      <c r="H36" s="97">
        <f>G36/F36-1</f>
        <v>0.10152284263959399</v>
      </c>
      <c r="I36" s="257">
        <f t="shared" si="13"/>
        <v>10</v>
      </c>
      <c r="P36" s="24" t="s">
        <v>51</v>
      </c>
      <c r="Q36" s="256">
        <v>49.1</v>
      </c>
      <c r="R36" s="257">
        <v>45.63</v>
      </c>
      <c r="S36" s="257">
        <v>64.64</v>
      </c>
      <c r="T36" s="257">
        <v>73.62</v>
      </c>
      <c r="U36" s="257">
        <v>81.849999999999994</v>
      </c>
      <c r="V36" s="97">
        <f t="shared" si="14"/>
        <v>0.11179027438196121</v>
      </c>
      <c r="W36" s="257">
        <f t="shared" si="15"/>
        <v>8.2299999999999898</v>
      </c>
      <c r="AE36" s="24" t="s">
        <v>51</v>
      </c>
      <c r="AF36" s="259">
        <v>3114952.08</v>
      </c>
      <c r="AG36" s="260">
        <v>4498900.47</v>
      </c>
      <c r="AH36" s="260">
        <v>7864755.4300000006</v>
      </c>
      <c r="AI36" s="260">
        <v>9097368.0999999996</v>
      </c>
      <c r="AJ36" s="260">
        <v>10277452.130000001</v>
      </c>
      <c r="AK36" s="97">
        <f t="shared" si="16"/>
        <v>0.12971708048177155</v>
      </c>
      <c r="AL36" s="70">
        <f t="shared" si="17"/>
        <v>1180084.0300000012</v>
      </c>
    </row>
    <row r="37" spans="2:39" x14ac:dyDescent="0.25">
      <c r="B37" s="24" t="s">
        <v>52</v>
      </c>
      <c r="C37" s="256">
        <v>106.13</v>
      </c>
      <c r="D37" s="256">
        <v>125.31</v>
      </c>
      <c r="E37" s="256">
        <v>128.06</v>
      </c>
      <c r="F37" s="256">
        <v>149.08000000000001</v>
      </c>
      <c r="G37" s="256">
        <v>167.62</v>
      </c>
      <c r="H37" s="97">
        <f t="shared" ref="H37:H40" si="18">G37/F37-1</f>
        <v>0.12436275825060372</v>
      </c>
      <c r="I37" s="257">
        <f t="shared" si="13"/>
        <v>18.539999999999992</v>
      </c>
      <c r="P37" s="24" t="s">
        <v>52</v>
      </c>
      <c r="Q37" s="256">
        <v>64.31</v>
      </c>
      <c r="R37" s="257">
        <v>82.55</v>
      </c>
      <c r="S37" s="257">
        <v>96.70999999999998</v>
      </c>
      <c r="T37" s="257">
        <v>122.12</v>
      </c>
      <c r="U37" s="257">
        <v>143.97</v>
      </c>
      <c r="V37" s="97">
        <f t="shared" si="14"/>
        <v>0.17892237143792977</v>
      </c>
      <c r="W37" s="257">
        <f t="shared" si="15"/>
        <v>21.849999999999994</v>
      </c>
      <c r="AE37" s="24" t="s">
        <v>52</v>
      </c>
      <c r="AF37" s="259">
        <v>18804870.850000001</v>
      </c>
      <c r="AG37" s="260">
        <v>30921945.879999999</v>
      </c>
      <c r="AH37" s="260">
        <v>58482134.030000001</v>
      </c>
      <c r="AI37" s="260">
        <v>79534420.480000004</v>
      </c>
      <c r="AJ37" s="260">
        <v>93956888.709999993</v>
      </c>
      <c r="AK37" s="97">
        <f t="shared" si="16"/>
        <v>0.18133618303821941</v>
      </c>
      <c r="AL37" s="70">
        <f t="shared" si="17"/>
        <v>14422468.229999989</v>
      </c>
    </row>
    <row r="38" spans="2:39" x14ac:dyDescent="0.25">
      <c r="B38" s="24" t="s">
        <v>53</v>
      </c>
      <c r="C38" s="256">
        <v>64.19</v>
      </c>
      <c r="D38" s="256">
        <v>68.989999999999995</v>
      </c>
      <c r="E38" s="256">
        <v>76.34</v>
      </c>
      <c r="F38" s="256">
        <v>86.65</v>
      </c>
      <c r="G38" s="256">
        <v>96.86</v>
      </c>
      <c r="H38" s="97">
        <f t="shared" si="18"/>
        <v>0.1178303519907673</v>
      </c>
      <c r="I38" s="257">
        <f t="shared" si="13"/>
        <v>10.209999999999994</v>
      </c>
      <c r="P38" s="24" t="s">
        <v>53</v>
      </c>
      <c r="Q38" s="256">
        <v>33.54</v>
      </c>
      <c r="R38" s="257">
        <v>37.840000000000003</v>
      </c>
      <c r="S38" s="257">
        <v>53.16</v>
      </c>
      <c r="T38" s="257">
        <v>62.04999999999999</v>
      </c>
      <c r="U38" s="257">
        <v>69.75</v>
      </c>
      <c r="V38" s="97">
        <f t="shared" si="14"/>
        <v>0.12409347300564089</v>
      </c>
      <c r="W38" s="257">
        <f t="shared" si="15"/>
        <v>7.7000000000000099</v>
      </c>
      <c r="AE38" s="24" t="s">
        <v>53</v>
      </c>
      <c r="AF38" s="259">
        <v>10173605.369999999</v>
      </c>
      <c r="AG38" s="260">
        <v>16610861.379999999</v>
      </c>
      <c r="AH38" s="260">
        <v>27747259.210000001</v>
      </c>
      <c r="AI38" s="260">
        <v>33504230.199999999</v>
      </c>
      <c r="AJ38" s="260">
        <v>36546242.25</v>
      </c>
      <c r="AK38" s="97">
        <f t="shared" si="16"/>
        <v>9.0794864763076966E-2</v>
      </c>
      <c r="AL38" s="70">
        <f t="shared" si="17"/>
        <v>3042012.0500000007</v>
      </c>
    </row>
    <row r="39" spans="2:39" x14ac:dyDescent="0.25">
      <c r="B39" s="24" t="s">
        <v>54</v>
      </c>
      <c r="C39" s="256">
        <v>102.24</v>
      </c>
      <c r="D39" s="256">
        <v>98.71</v>
      </c>
      <c r="E39" s="256">
        <v>114.5</v>
      </c>
      <c r="F39" s="256">
        <v>129.04</v>
      </c>
      <c r="G39" s="256">
        <v>138.44999999999999</v>
      </c>
      <c r="H39" s="97">
        <f t="shared" si="18"/>
        <v>7.292312461252326E-2</v>
      </c>
      <c r="I39" s="257">
        <f t="shared" si="13"/>
        <v>9.4099999999999966</v>
      </c>
      <c r="P39" s="24" t="s">
        <v>54</v>
      </c>
      <c r="Q39" s="256">
        <v>50.94</v>
      </c>
      <c r="R39" s="257">
        <v>53.72</v>
      </c>
      <c r="S39" s="257">
        <v>88.72</v>
      </c>
      <c r="T39" s="257">
        <v>108.87</v>
      </c>
      <c r="U39" s="257">
        <v>119.53</v>
      </c>
      <c r="V39" s="97">
        <f t="shared" si="14"/>
        <v>9.791494442913562E-2</v>
      </c>
      <c r="W39" s="257">
        <f t="shared" si="15"/>
        <v>10.659999999999997</v>
      </c>
      <c r="AE39" s="24" t="s">
        <v>54</v>
      </c>
      <c r="AF39" s="259">
        <v>28411183</v>
      </c>
      <c r="AG39" s="260">
        <v>34127770.07</v>
      </c>
      <c r="AH39" s="260">
        <v>88124626.280000001</v>
      </c>
      <c r="AI39" s="260">
        <v>107018992.04000001</v>
      </c>
      <c r="AJ39" s="260">
        <v>118898417.72000001</v>
      </c>
      <c r="AK39" s="97">
        <f t="shared" si="16"/>
        <v>0.11100296735704518</v>
      </c>
      <c r="AL39" s="70">
        <f t="shared" si="17"/>
        <v>11879425.680000007</v>
      </c>
    </row>
    <row r="40" spans="2:39" x14ac:dyDescent="0.25">
      <c r="B40" s="29" t="s">
        <v>55</v>
      </c>
      <c r="C40" s="256">
        <v>58.1</v>
      </c>
      <c r="D40" s="256">
        <v>74.28</v>
      </c>
      <c r="E40" s="256">
        <v>64.23</v>
      </c>
      <c r="F40" s="256">
        <v>69.86</v>
      </c>
      <c r="G40" s="256">
        <v>72.739999999999995</v>
      </c>
      <c r="H40" s="97">
        <f t="shared" si="18"/>
        <v>4.1225307758373742E-2</v>
      </c>
      <c r="I40" s="257">
        <f t="shared" si="13"/>
        <v>2.8799999999999955</v>
      </c>
      <c r="P40" s="29" t="s">
        <v>55</v>
      </c>
      <c r="Q40" s="256">
        <v>22.7</v>
      </c>
      <c r="R40" s="257">
        <v>29.35</v>
      </c>
      <c r="S40" s="257">
        <v>43.18</v>
      </c>
      <c r="T40" s="257">
        <v>54</v>
      </c>
      <c r="U40" s="257">
        <v>56.57</v>
      </c>
      <c r="V40" s="97">
        <f t="shared" si="14"/>
        <v>4.7592592592592631E-2</v>
      </c>
      <c r="W40" s="257">
        <f t="shared" si="15"/>
        <v>2.5700000000000003</v>
      </c>
      <c r="AE40" s="29" t="s">
        <v>55</v>
      </c>
      <c r="AF40" s="259">
        <v>7215296.4500000002</v>
      </c>
      <c r="AG40" s="260">
        <v>12828760.219999999</v>
      </c>
      <c r="AH40" s="260">
        <v>20416665.23</v>
      </c>
      <c r="AI40" s="260">
        <v>24141003.859999999</v>
      </c>
      <c r="AJ40" s="260">
        <v>26195575.009999998</v>
      </c>
      <c r="AK40" s="97">
        <f t="shared" si="16"/>
        <v>8.5107113271469359E-2</v>
      </c>
      <c r="AL40" s="70">
        <f t="shared" si="17"/>
        <v>2054571.1499999985</v>
      </c>
    </row>
    <row r="41" spans="2:39" x14ac:dyDescent="0.25">
      <c r="B41" s="127"/>
      <c r="C41" s="128"/>
      <c r="D41" s="128"/>
      <c r="E41" s="128"/>
      <c r="F41" s="128"/>
      <c r="G41" s="129"/>
      <c r="H41" s="128"/>
      <c r="I41" s="130"/>
      <c r="P41" s="127"/>
      <c r="Q41" s="128"/>
      <c r="R41" s="128"/>
      <c r="S41" s="128"/>
      <c r="T41" s="128"/>
      <c r="U41" s="129"/>
      <c r="V41" s="128"/>
      <c r="W41" s="130"/>
      <c r="AE41" s="127"/>
      <c r="AF41" s="127"/>
      <c r="AG41" s="127"/>
      <c r="AH41" s="127"/>
      <c r="AI41" s="128"/>
      <c r="AJ41" s="129"/>
      <c r="AK41" s="130"/>
      <c r="AL41" s="130"/>
    </row>
    <row r="42" spans="2:39" x14ac:dyDescent="0.25">
      <c r="B42" s="267" t="s">
        <v>57</v>
      </c>
      <c r="C42" s="267"/>
      <c r="D42" s="267"/>
      <c r="E42" s="267"/>
      <c r="F42" s="267"/>
      <c r="G42" s="267"/>
      <c r="H42" s="267"/>
      <c r="I42" s="131"/>
      <c r="P42" s="131" t="s">
        <v>57</v>
      </c>
      <c r="Q42" s="131"/>
      <c r="R42" s="131"/>
      <c r="S42" s="131"/>
      <c r="T42" s="131"/>
      <c r="U42" s="131"/>
      <c r="V42" s="131"/>
      <c r="W42" s="131"/>
      <c r="AE42" s="131" t="s">
        <v>57</v>
      </c>
      <c r="AF42" s="131"/>
      <c r="AG42" s="131"/>
      <c r="AH42" s="131"/>
      <c r="AI42" s="131"/>
      <c r="AJ42" s="131"/>
      <c r="AK42" s="131"/>
      <c r="AL42" s="131"/>
    </row>
    <row r="43" spans="2:39" ht="39" customHeight="1" x14ac:dyDescent="0.25">
      <c r="B43" s="65" t="s">
        <v>169</v>
      </c>
      <c r="C43" s="65"/>
      <c r="D43" s="65"/>
      <c r="E43" s="65"/>
      <c r="F43" s="65"/>
      <c r="G43" s="65"/>
      <c r="H43" s="65"/>
      <c r="P43" s="65" t="s">
        <v>170</v>
      </c>
      <c r="Q43" s="65"/>
      <c r="R43" s="65"/>
      <c r="S43" s="65"/>
      <c r="T43" s="65"/>
      <c r="U43" s="65"/>
      <c r="V43" s="65"/>
      <c r="W43" s="65"/>
      <c r="AE43" s="263" t="s">
        <v>171</v>
      </c>
      <c r="AF43" s="263"/>
      <c r="AG43" s="263"/>
      <c r="AH43" s="263"/>
      <c r="AI43" s="263"/>
      <c r="AJ43" s="263"/>
      <c r="AK43" s="263"/>
      <c r="AL43" s="263"/>
      <c r="AM43" s="263"/>
    </row>
    <row r="44" spans="2:39" ht="24" customHeight="1" x14ac:dyDescent="0.25">
      <c r="B44" s="65" t="s">
        <v>172</v>
      </c>
      <c r="C44" s="65"/>
      <c r="D44" s="65"/>
      <c r="E44" s="65"/>
      <c r="F44" s="65"/>
      <c r="G44" s="65"/>
      <c r="H44" s="65"/>
      <c r="P44" s="264" t="s">
        <v>173</v>
      </c>
      <c r="Q44" s="264"/>
      <c r="R44" s="264"/>
      <c r="S44" s="264"/>
      <c r="T44" s="264"/>
      <c r="U44" s="264"/>
      <c r="V44" s="264"/>
      <c r="W44" s="264"/>
      <c r="AF44" s="151"/>
      <c r="AG44" s="151"/>
    </row>
  </sheetData>
  <mergeCells count="18">
    <mergeCell ref="B42:H42"/>
    <mergeCell ref="B43:H43"/>
    <mergeCell ref="P43:W43"/>
    <mergeCell ref="AE43:AM43"/>
    <mergeCell ref="B44:H44"/>
    <mergeCell ref="P44:W44"/>
    <mergeCell ref="B22:N22"/>
    <mergeCell ref="P22:W22"/>
    <mergeCell ref="B23:N23"/>
    <mergeCell ref="B27:H27"/>
    <mergeCell ref="P27:W27"/>
    <mergeCell ref="AE27:AK27"/>
    <mergeCell ref="B5:N5"/>
    <mergeCell ref="P5:AB5"/>
    <mergeCell ref="AD5:AT5"/>
    <mergeCell ref="B21:N21"/>
    <mergeCell ref="P21:W21"/>
    <mergeCell ref="AD21:AV21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8B878-DC7A-4FB0-A210-84C0E28299A2}">
  <sheetPr>
    <tabColor theme="2" tint="-9.9978637043366805E-2"/>
  </sheetPr>
  <dimension ref="B1:Q53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106" t="str">
        <f>CONCATENATE("Tarifa media diaria (ADR) Tenerife y municipios")</f>
        <v>Tarifa media diaria (ADR)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2:17" ht="6.95" customHeight="1" thickBot="1" x14ac:dyDescent="0.3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8"/>
      <c r="P4" s="108"/>
      <c r="Q4" s="108"/>
    </row>
    <row r="5" spans="2:17" ht="59.25" customHeight="1" x14ac:dyDescent="0.25">
      <c r="B5" s="114"/>
      <c r="C5" s="15">
        <v>2019</v>
      </c>
      <c r="D5" s="15">
        <v>2020</v>
      </c>
      <c r="E5" s="15">
        <v>2021</v>
      </c>
      <c r="F5" s="15">
        <v>2022</v>
      </c>
      <c r="G5" s="15">
        <v>2023</v>
      </c>
      <c r="H5" s="15">
        <v>2024</v>
      </c>
      <c r="I5" s="115" t="str">
        <f>CONCATENATE("var. ",RIGHT(H5,2),"/",RIGHT(G5,2))</f>
        <v>var. 24/23</v>
      </c>
      <c r="J5" s="115" t="str">
        <f>CONCATENATE("dif. ",RIGHT(H5,2),"/",RIGHT(G5,2))</f>
        <v>dif. 24/23</v>
      </c>
      <c r="K5" s="116" t="s">
        <v>228</v>
      </c>
      <c r="L5" s="116" t="s">
        <v>229</v>
      </c>
      <c r="M5" s="116" t="s">
        <v>230</v>
      </c>
      <c r="N5" s="116" t="s">
        <v>231</v>
      </c>
      <c r="O5" s="116" t="s">
        <v>232</v>
      </c>
      <c r="P5" s="115" t="str">
        <f>CONCATENATE("var. ",RIGHT(O5,2),"/",RIGHT(N5,2))</f>
        <v>var. 25/24</v>
      </c>
      <c r="Q5" s="115" t="str">
        <f>CONCATENATE("dif. ",RIGHT(O5,2),"/",RIGHT(N5,2))</f>
        <v>dif. 25/24</v>
      </c>
    </row>
    <row r="6" spans="2:17" x14ac:dyDescent="0.25">
      <c r="B6" s="117" t="s">
        <v>45</v>
      </c>
      <c r="C6" s="268">
        <v>87.94</v>
      </c>
      <c r="D6" s="268">
        <v>95.01</v>
      </c>
      <c r="E6" s="268">
        <v>99.07</v>
      </c>
      <c r="F6" s="268">
        <v>105.63</v>
      </c>
      <c r="G6" s="268">
        <v>113.88</v>
      </c>
      <c r="H6" s="268">
        <v>125.25</v>
      </c>
      <c r="I6" s="119">
        <f t="shared" ref="I6:I51" si="0">IFERROR(H6/G6-1,"-")</f>
        <v>9.984193888303472E-2</v>
      </c>
      <c r="J6" s="268">
        <f t="shared" ref="J6:J51" si="1">IFERROR(H6-G6,"-")</f>
        <v>11.370000000000005</v>
      </c>
      <c r="K6" s="269">
        <v>105.23</v>
      </c>
      <c r="L6" s="269">
        <v>105.25</v>
      </c>
      <c r="M6" s="269">
        <v>114.83</v>
      </c>
      <c r="N6" s="269">
        <v>123.97</v>
      </c>
      <c r="O6" s="269">
        <v>130.07</v>
      </c>
      <c r="P6" s="119">
        <f t="shared" ref="P6:P51" si="2">IFERROR(O6/N6-1,"-")</f>
        <v>4.9205452932161053E-2</v>
      </c>
      <c r="Q6" s="268">
        <f t="shared" ref="Q6:Q51" si="3">IFERROR(O6-N6,"-")</f>
        <v>6.0999999999999943</v>
      </c>
    </row>
    <row r="7" spans="2:17" x14ac:dyDescent="0.25">
      <c r="B7" s="120" t="s">
        <v>62</v>
      </c>
      <c r="C7" s="270">
        <v>95.42</v>
      </c>
      <c r="D7" s="270">
        <v>103.69</v>
      </c>
      <c r="E7" s="270">
        <v>107.45</v>
      </c>
      <c r="F7" s="270">
        <v>114.17</v>
      </c>
      <c r="G7" s="270">
        <v>123.5</v>
      </c>
      <c r="H7" s="270">
        <v>135.84</v>
      </c>
      <c r="I7" s="122">
        <f t="shared" si="0"/>
        <v>9.991902834008104E-2</v>
      </c>
      <c r="J7" s="270">
        <f t="shared" si="1"/>
        <v>12.340000000000003</v>
      </c>
      <c r="K7" s="271">
        <v>114.39</v>
      </c>
      <c r="L7" s="271">
        <v>114.01</v>
      </c>
      <c r="M7" s="271">
        <v>124.57</v>
      </c>
      <c r="N7" s="271">
        <v>134.32</v>
      </c>
      <c r="O7" s="271">
        <v>141.37</v>
      </c>
      <c r="P7" s="122">
        <f t="shared" si="2"/>
        <v>5.2486599166170489E-2</v>
      </c>
      <c r="Q7" s="270">
        <f t="shared" si="3"/>
        <v>7.0500000000000114</v>
      </c>
    </row>
    <row r="8" spans="2:17" x14ac:dyDescent="0.25">
      <c r="B8" s="123" t="s">
        <v>63</v>
      </c>
      <c r="C8" s="272">
        <v>104.04</v>
      </c>
      <c r="D8" s="272">
        <v>113.97</v>
      </c>
      <c r="E8" s="272">
        <v>117.1</v>
      </c>
      <c r="F8" s="272">
        <v>123.96</v>
      </c>
      <c r="G8" s="272">
        <v>133.38999999999999</v>
      </c>
      <c r="H8" s="272">
        <v>146.27000000000001</v>
      </c>
      <c r="I8" s="124">
        <f t="shared" si="0"/>
        <v>9.6558962440962848E-2</v>
      </c>
      <c r="J8" s="272">
        <f t="shared" si="1"/>
        <v>12.880000000000024</v>
      </c>
      <c r="K8" s="273">
        <v>124.53</v>
      </c>
      <c r="L8" s="273">
        <v>124.05</v>
      </c>
      <c r="M8" s="273">
        <v>134.66999999999999</v>
      </c>
      <c r="N8" s="273">
        <v>144.66</v>
      </c>
      <c r="O8" s="273">
        <v>152.19999999999999</v>
      </c>
      <c r="P8" s="124">
        <f t="shared" si="2"/>
        <v>5.2122217613714827E-2</v>
      </c>
      <c r="Q8" s="272">
        <f t="shared" si="3"/>
        <v>7.539999999999992</v>
      </c>
    </row>
    <row r="9" spans="2:17" x14ac:dyDescent="0.25">
      <c r="B9" s="123" t="s">
        <v>64</v>
      </c>
      <c r="C9" s="272">
        <v>59.74</v>
      </c>
      <c r="D9" s="272">
        <v>59.3</v>
      </c>
      <c r="E9" s="272">
        <v>59.54</v>
      </c>
      <c r="F9" s="272">
        <v>65.25</v>
      </c>
      <c r="G9" s="272">
        <v>72.41</v>
      </c>
      <c r="H9" s="272">
        <v>79.900000000000006</v>
      </c>
      <c r="I9" s="124">
        <f t="shared" si="0"/>
        <v>0.10343875155365301</v>
      </c>
      <c r="J9" s="272">
        <f t="shared" si="1"/>
        <v>7.4900000000000091</v>
      </c>
      <c r="K9" s="273">
        <v>61.27</v>
      </c>
      <c r="L9" s="273">
        <v>62.65</v>
      </c>
      <c r="M9" s="273">
        <v>70.260000000000005</v>
      </c>
      <c r="N9" s="273">
        <v>76.260000000000005</v>
      </c>
      <c r="O9" s="273">
        <v>81.47</v>
      </c>
      <c r="P9" s="124">
        <f t="shared" si="2"/>
        <v>6.8318908995541383E-2</v>
      </c>
      <c r="Q9" s="272">
        <f t="shared" si="3"/>
        <v>5.2099999999999937</v>
      </c>
    </row>
    <row r="10" spans="2:17" x14ac:dyDescent="0.25">
      <c r="B10" s="120" t="s">
        <v>65</v>
      </c>
      <c r="C10" s="270">
        <v>66.08</v>
      </c>
      <c r="D10" s="270">
        <v>69.31</v>
      </c>
      <c r="E10" s="270">
        <v>67.12</v>
      </c>
      <c r="F10" s="270">
        <v>73.13</v>
      </c>
      <c r="G10" s="270">
        <v>78.930000000000007</v>
      </c>
      <c r="H10" s="270">
        <v>86.89</v>
      </c>
      <c r="I10" s="122">
        <f t="shared" si="0"/>
        <v>0.10084885341441785</v>
      </c>
      <c r="J10" s="270">
        <f t="shared" si="1"/>
        <v>7.9599999999999937</v>
      </c>
      <c r="K10" s="271">
        <v>63.61</v>
      </c>
      <c r="L10" s="271">
        <v>70.94</v>
      </c>
      <c r="M10" s="271">
        <v>78.150000000000006</v>
      </c>
      <c r="N10" s="271">
        <v>85.37</v>
      </c>
      <c r="O10" s="271">
        <v>90.4</v>
      </c>
      <c r="P10" s="122">
        <f t="shared" si="2"/>
        <v>5.8919995314513196E-2</v>
      </c>
      <c r="Q10" s="270">
        <f t="shared" si="3"/>
        <v>5.0300000000000011</v>
      </c>
    </row>
    <row r="11" spans="2:17" x14ac:dyDescent="0.25">
      <c r="B11" s="117" t="s">
        <v>46</v>
      </c>
      <c r="C11" s="274">
        <v>107.11</v>
      </c>
      <c r="D11" s="274">
        <v>119.42</v>
      </c>
      <c r="E11" s="274">
        <v>126.49</v>
      </c>
      <c r="F11" s="274">
        <v>131.02000000000001</v>
      </c>
      <c r="G11" s="274">
        <v>139.02000000000001</v>
      </c>
      <c r="H11" s="274">
        <v>151.54</v>
      </c>
      <c r="I11" s="126">
        <f t="shared" si="0"/>
        <v>9.0058984318802882E-2</v>
      </c>
      <c r="J11" s="274">
        <f t="shared" si="1"/>
        <v>12.519999999999982</v>
      </c>
      <c r="K11" s="275">
        <v>132.52000000000001</v>
      </c>
      <c r="L11" s="275">
        <v>129.80000000000001</v>
      </c>
      <c r="M11" s="275">
        <v>139.91999999999999</v>
      </c>
      <c r="N11" s="275">
        <v>149.41</v>
      </c>
      <c r="O11" s="275">
        <v>157.84</v>
      </c>
      <c r="P11" s="126">
        <f t="shared" si="2"/>
        <v>5.6421926243223286E-2</v>
      </c>
      <c r="Q11" s="274">
        <f t="shared" si="3"/>
        <v>8.4300000000000068</v>
      </c>
    </row>
    <row r="12" spans="2:17" x14ac:dyDescent="0.25">
      <c r="B12" s="120" t="s">
        <v>62</v>
      </c>
      <c r="C12" s="270">
        <v>115.8</v>
      </c>
      <c r="D12" s="270">
        <v>130.44999999999999</v>
      </c>
      <c r="E12" s="270">
        <v>134.97</v>
      </c>
      <c r="F12" s="270">
        <v>140.36000000000001</v>
      </c>
      <c r="G12" s="270">
        <v>150.84</v>
      </c>
      <c r="H12" s="270">
        <v>166.04</v>
      </c>
      <c r="I12" s="122">
        <f t="shared" si="0"/>
        <v>0.10076902678334654</v>
      </c>
      <c r="J12" s="270">
        <f t="shared" si="1"/>
        <v>15.199999999999989</v>
      </c>
      <c r="K12" s="271">
        <v>140.69</v>
      </c>
      <c r="L12" s="271">
        <v>139.09</v>
      </c>
      <c r="M12" s="271">
        <v>151.12</v>
      </c>
      <c r="N12" s="271">
        <v>163.46</v>
      </c>
      <c r="O12" s="271">
        <v>175.45</v>
      </c>
      <c r="P12" s="122">
        <f t="shared" si="2"/>
        <v>7.3351278600269021E-2</v>
      </c>
      <c r="Q12" s="270">
        <f t="shared" si="3"/>
        <v>11.989999999999981</v>
      </c>
    </row>
    <row r="13" spans="2:17" x14ac:dyDescent="0.25">
      <c r="B13" s="123" t="s">
        <v>63</v>
      </c>
      <c r="C13" s="272">
        <v>125.04</v>
      </c>
      <c r="D13" s="272">
        <v>138.85</v>
      </c>
      <c r="E13" s="272">
        <v>143.38999999999999</v>
      </c>
      <c r="F13" s="272">
        <v>150.34</v>
      </c>
      <c r="G13" s="272">
        <v>161.43</v>
      </c>
      <c r="H13" s="272">
        <v>176.82</v>
      </c>
      <c r="I13" s="124">
        <f t="shared" si="0"/>
        <v>9.5335439509384834E-2</v>
      </c>
      <c r="J13" s="272">
        <f t="shared" si="1"/>
        <v>15.389999999999986</v>
      </c>
      <c r="K13" s="273">
        <v>151.41</v>
      </c>
      <c r="L13" s="273">
        <v>149.97999999999999</v>
      </c>
      <c r="M13" s="273">
        <v>161.88999999999999</v>
      </c>
      <c r="N13" s="273">
        <v>174.04</v>
      </c>
      <c r="O13" s="273">
        <v>187.6</v>
      </c>
      <c r="P13" s="124">
        <f t="shared" si="2"/>
        <v>7.7913123419903529E-2</v>
      </c>
      <c r="Q13" s="272">
        <f t="shared" si="3"/>
        <v>13.560000000000002</v>
      </c>
    </row>
    <row r="14" spans="2:17" x14ac:dyDescent="0.25">
      <c r="B14" s="123" t="s">
        <v>64</v>
      </c>
      <c r="C14" s="272">
        <v>63.73</v>
      </c>
      <c r="D14" s="272">
        <v>65.55</v>
      </c>
      <c r="E14" s="272">
        <v>60.97</v>
      </c>
      <c r="F14" s="272">
        <v>62.16</v>
      </c>
      <c r="G14" s="272">
        <v>63.03</v>
      </c>
      <c r="H14" s="272">
        <v>64.42</v>
      </c>
      <c r="I14" s="124">
        <f t="shared" si="0"/>
        <v>2.2052990639378045E-2</v>
      </c>
      <c r="J14" s="272">
        <f t="shared" si="1"/>
        <v>1.3900000000000006</v>
      </c>
      <c r="K14" s="273">
        <v>60.53</v>
      </c>
      <c r="L14" s="273">
        <v>55.44</v>
      </c>
      <c r="M14" s="273">
        <v>56.66</v>
      </c>
      <c r="N14" s="273">
        <v>56.73</v>
      </c>
      <c r="O14" s="273">
        <v>67.989999999999995</v>
      </c>
      <c r="P14" s="124">
        <f t="shared" si="2"/>
        <v>0.19848404724131852</v>
      </c>
      <c r="Q14" s="272">
        <f t="shared" si="3"/>
        <v>11.259999999999998</v>
      </c>
    </row>
    <row r="15" spans="2:17" x14ac:dyDescent="0.25">
      <c r="B15" s="120" t="s">
        <v>65</v>
      </c>
      <c r="C15" s="270">
        <v>72.42</v>
      </c>
      <c r="D15" s="270">
        <v>76.66</v>
      </c>
      <c r="E15" s="270">
        <v>74.13</v>
      </c>
      <c r="F15" s="270">
        <v>78.930000000000007</v>
      </c>
      <c r="G15" s="270">
        <v>83.06</v>
      </c>
      <c r="H15" s="270">
        <v>86.47</v>
      </c>
      <c r="I15" s="122">
        <f t="shared" si="0"/>
        <v>4.1054659282446337E-2</v>
      </c>
      <c r="J15" s="270">
        <f t="shared" si="1"/>
        <v>3.4099999999999966</v>
      </c>
      <c r="K15" s="271">
        <v>70.78</v>
      </c>
      <c r="L15" s="271">
        <v>79.06</v>
      </c>
      <c r="M15" s="271">
        <v>82.01</v>
      </c>
      <c r="N15" s="271">
        <v>86.43</v>
      </c>
      <c r="O15" s="271">
        <v>85.02</v>
      </c>
      <c r="P15" s="122">
        <f t="shared" si="2"/>
        <v>-1.6313779937521811E-2</v>
      </c>
      <c r="Q15" s="270">
        <f t="shared" si="3"/>
        <v>-1.4100000000000108</v>
      </c>
    </row>
    <row r="16" spans="2:17" x14ac:dyDescent="0.25">
      <c r="B16" s="117" t="s">
        <v>51</v>
      </c>
      <c r="C16" s="274">
        <v>81.38</v>
      </c>
      <c r="D16" s="274">
        <v>86.79</v>
      </c>
      <c r="E16" s="274">
        <v>84.44</v>
      </c>
      <c r="F16" s="274">
        <v>89.45</v>
      </c>
      <c r="G16" s="274">
        <v>98.5</v>
      </c>
      <c r="H16" s="274">
        <v>108.5</v>
      </c>
      <c r="I16" s="126">
        <f t="shared" si="0"/>
        <v>0.10152284263959399</v>
      </c>
      <c r="J16" s="274">
        <f t="shared" si="1"/>
        <v>10</v>
      </c>
      <c r="K16" s="275">
        <v>90.53</v>
      </c>
      <c r="L16" s="275">
        <v>96.39</v>
      </c>
      <c r="M16" s="275">
        <v>100.96</v>
      </c>
      <c r="N16" s="275">
        <v>101.59</v>
      </c>
      <c r="O16" s="275">
        <v>111.47</v>
      </c>
      <c r="P16" s="126">
        <f t="shared" si="2"/>
        <v>9.7253666699478325E-2</v>
      </c>
      <c r="Q16" s="274">
        <f t="shared" si="3"/>
        <v>9.8799999999999955</v>
      </c>
    </row>
    <row r="17" spans="2:17" x14ac:dyDescent="0.25">
      <c r="B17" s="120" t="s">
        <v>62</v>
      </c>
      <c r="C17" s="270">
        <v>81.38</v>
      </c>
      <c r="D17" s="270">
        <v>86.79</v>
      </c>
      <c r="E17" s="270">
        <v>84.44</v>
      </c>
      <c r="F17" s="270">
        <v>89.45</v>
      </c>
      <c r="G17" s="270">
        <v>98.5</v>
      </c>
      <c r="H17" s="270">
        <v>108.5</v>
      </c>
      <c r="I17" s="122">
        <f t="shared" si="0"/>
        <v>0.10152284263959399</v>
      </c>
      <c r="J17" s="270">
        <f t="shared" si="1"/>
        <v>10</v>
      </c>
      <c r="K17" s="271">
        <v>90.53</v>
      </c>
      <c r="L17" s="271">
        <v>96.39</v>
      </c>
      <c r="M17" s="271">
        <v>100.96</v>
      </c>
      <c r="N17" s="271">
        <v>101.59</v>
      </c>
      <c r="O17" s="271">
        <v>111.47</v>
      </c>
      <c r="P17" s="122">
        <f t="shared" si="2"/>
        <v>9.7253666699478325E-2</v>
      </c>
      <c r="Q17" s="270">
        <f t="shared" si="3"/>
        <v>9.8799999999999955</v>
      </c>
    </row>
    <row r="18" spans="2:17" x14ac:dyDescent="0.25">
      <c r="B18" s="123" t="s">
        <v>63</v>
      </c>
      <c r="C18" s="272">
        <v>89.36</v>
      </c>
      <c r="D18" s="272">
        <v>0</v>
      </c>
      <c r="E18" s="272">
        <v>0</v>
      </c>
      <c r="F18" s="272">
        <v>91</v>
      </c>
      <c r="G18" s="272">
        <v>100.11</v>
      </c>
      <c r="H18" s="272">
        <v>111.03</v>
      </c>
      <c r="I18" s="124">
        <f t="shared" si="0"/>
        <v>0.1090800119868145</v>
      </c>
      <c r="J18" s="272">
        <f t="shared" si="1"/>
        <v>10.920000000000002</v>
      </c>
      <c r="K18" s="273">
        <v>0</v>
      </c>
      <c r="L18" s="273">
        <v>101.69</v>
      </c>
      <c r="M18" s="273">
        <v>102.5</v>
      </c>
      <c r="N18" s="273">
        <v>103.37</v>
      </c>
      <c r="O18" s="273">
        <v>114.52</v>
      </c>
      <c r="P18" s="124">
        <f t="shared" si="2"/>
        <v>0.1078649511463674</v>
      </c>
      <c r="Q18" s="272">
        <f t="shared" si="3"/>
        <v>11.149999999999991</v>
      </c>
    </row>
    <row r="19" spans="2:17" x14ac:dyDescent="0.25">
      <c r="B19" s="123" t="s">
        <v>64</v>
      </c>
      <c r="C19" s="272">
        <v>51.59</v>
      </c>
      <c r="D19" s="272">
        <v>0</v>
      </c>
      <c r="E19" s="272">
        <v>0</v>
      </c>
      <c r="F19" s="272">
        <v>73.22</v>
      </c>
      <c r="G19" s="272">
        <v>85.49</v>
      </c>
      <c r="H19" s="272">
        <v>88.84</v>
      </c>
      <c r="I19" s="124">
        <f t="shared" si="0"/>
        <v>3.9185869692361708E-2</v>
      </c>
      <c r="J19" s="272">
        <f t="shared" si="1"/>
        <v>3.3500000000000085</v>
      </c>
      <c r="K19" s="273">
        <v>0</v>
      </c>
      <c r="L19" s="273">
        <v>58.72</v>
      </c>
      <c r="M19" s="273">
        <v>89.3</v>
      </c>
      <c r="N19" s="273">
        <v>88.95</v>
      </c>
      <c r="O19" s="273">
        <v>90.75</v>
      </c>
      <c r="P19" s="124">
        <f t="shared" si="2"/>
        <v>2.0236087689713189E-2</v>
      </c>
      <c r="Q19" s="272">
        <f t="shared" si="3"/>
        <v>1.7999999999999972</v>
      </c>
    </row>
    <row r="20" spans="2:17" x14ac:dyDescent="0.25">
      <c r="B20" s="120" t="s">
        <v>65</v>
      </c>
      <c r="C20" s="270">
        <v>0</v>
      </c>
      <c r="D20" s="270">
        <v>0</v>
      </c>
      <c r="E20" s="270">
        <v>0</v>
      </c>
      <c r="F20" s="270">
        <v>0</v>
      </c>
      <c r="G20" s="270">
        <v>0</v>
      </c>
      <c r="H20" s="270">
        <v>0</v>
      </c>
      <c r="I20" s="122" t="str">
        <f t="shared" si="0"/>
        <v>-</v>
      </c>
      <c r="J20" s="270">
        <f t="shared" si="1"/>
        <v>0</v>
      </c>
      <c r="K20" s="271" t="s">
        <v>233</v>
      </c>
      <c r="L20" s="271" t="s">
        <v>233</v>
      </c>
      <c r="M20" s="271" t="s">
        <v>233</v>
      </c>
      <c r="N20" s="271" t="s">
        <v>233</v>
      </c>
      <c r="O20" s="271" t="s">
        <v>233</v>
      </c>
      <c r="P20" s="122" t="str">
        <f t="shared" si="2"/>
        <v>-</v>
      </c>
      <c r="Q20" s="270" t="str">
        <f t="shared" si="3"/>
        <v>-</v>
      </c>
    </row>
    <row r="21" spans="2:17" x14ac:dyDescent="0.25">
      <c r="B21" s="117" t="s">
        <v>48</v>
      </c>
      <c r="C21" s="274">
        <v>67.28</v>
      </c>
      <c r="D21" s="274">
        <v>70.819999999999993</v>
      </c>
      <c r="E21" s="274">
        <v>66.41</v>
      </c>
      <c r="F21" s="274">
        <v>77.45</v>
      </c>
      <c r="G21" s="274">
        <v>80.180000000000007</v>
      </c>
      <c r="H21" s="274">
        <v>89.86</v>
      </c>
      <c r="I21" s="126">
        <f t="shared" si="0"/>
        <v>0.12072836118732844</v>
      </c>
      <c r="J21" s="274">
        <f t="shared" si="1"/>
        <v>9.6799999999999926</v>
      </c>
      <c r="K21" s="275">
        <v>67.12</v>
      </c>
      <c r="L21" s="275">
        <v>82.24</v>
      </c>
      <c r="M21" s="275">
        <v>85.13</v>
      </c>
      <c r="N21" s="275">
        <v>88.45</v>
      </c>
      <c r="O21" s="275">
        <v>89.67</v>
      </c>
      <c r="P21" s="126">
        <f t="shared" si="2"/>
        <v>1.379310344827589E-2</v>
      </c>
      <c r="Q21" s="274">
        <f t="shared" si="3"/>
        <v>1.2199999999999989</v>
      </c>
    </row>
    <row r="22" spans="2:17" x14ac:dyDescent="0.25">
      <c r="B22" s="120" t="s">
        <v>62</v>
      </c>
      <c r="C22" s="270">
        <v>65.45</v>
      </c>
      <c r="D22" s="270">
        <v>68.510000000000005</v>
      </c>
      <c r="E22" s="270">
        <v>66.41</v>
      </c>
      <c r="F22" s="270">
        <v>77.510000000000005</v>
      </c>
      <c r="G22" s="270">
        <v>80.34</v>
      </c>
      <c r="H22" s="270">
        <v>89.98</v>
      </c>
      <c r="I22" s="122">
        <f t="shared" si="0"/>
        <v>0.11999004232013943</v>
      </c>
      <c r="J22" s="270">
        <f t="shared" si="1"/>
        <v>9.64</v>
      </c>
      <c r="K22" s="271">
        <v>67.12</v>
      </c>
      <c r="L22" s="271">
        <v>82.24</v>
      </c>
      <c r="M22" s="271">
        <v>85.31</v>
      </c>
      <c r="N22" s="271">
        <v>88.42</v>
      </c>
      <c r="O22" s="271">
        <v>89.67</v>
      </c>
      <c r="P22" s="122">
        <f t="shared" si="2"/>
        <v>1.4137073060393579E-2</v>
      </c>
      <c r="Q22" s="270">
        <f t="shared" si="3"/>
        <v>1.25</v>
      </c>
    </row>
    <row r="23" spans="2:17" x14ac:dyDescent="0.25">
      <c r="B23" s="120" t="s">
        <v>65</v>
      </c>
      <c r="C23" s="270">
        <v>81.73</v>
      </c>
      <c r="D23" s="270">
        <v>0</v>
      </c>
      <c r="E23" s="270">
        <v>0</v>
      </c>
      <c r="F23" s="270">
        <v>0</v>
      </c>
      <c r="G23" s="270">
        <v>0</v>
      </c>
      <c r="H23" s="270">
        <v>0</v>
      </c>
      <c r="I23" s="122" t="str">
        <f t="shared" si="0"/>
        <v>-</v>
      </c>
      <c r="J23" s="270">
        <f t="shared" si="1"/>
        <v>0</v>
      </c>
      <c r="K23" s="271">
        <v>0</v>
      </c>
      <c r="L23" s="271">
        <v>0</v>
      </c>
      <c r="M23" s="271">
        <v>0</v>
      </c>
      <c r="N23" s="271">
        <v>0</v>
      </c>
      <c r="O23" s="271">
        <v>0</v>
      </c>
      <c r="P23" s="122" t="str">
        <f t="shared" si="2"/>
        <v>-</v>
      </c>
      <c r="Q23" s="270">
        <f t="shared" si="3"/>
        <v>0</v>
      </c>
    </row>
    <row r="24" spans="2:17" x14ac:dyDescent="0.25">
      <c r="B24" s="117" t="s">
        <v>49</v>
      </c>
      <c r="C24" s="274">
        <v>145.08000000000001</v>
      </c>
      <c r="D24" s="274">
        <v>134.75</v>
      </c>
      <c r="E24" s="274">
        <v>154.08000000000001</v>
      </c>
      <c r="F24" s="274">
        <v>185.51</v>
      </c>
      <c r="G24" s="274">
        <v>208.16</v>
      </c>
      <c r="H24" s="274">
        <v>202.39</v>
      </c>
      <c r="I24" s="126">
        <f t="shared" si="0"/>
        <v>-2.7719062259800253E-2</v>
      </c>
      <c r="J24" s="274">
        <f t="shared" si="1"/>
        <v>-5.7700000000000102</v>
      </c>
      <c r="K24" s="275">
        <v>207.04</v>
      </c>
      <c r="L24" s="275">
        <v>142.35</v>
      </c>
      <c r="M24" s="275">
        <v>198.53</v>
      </c>
      <c r="N24" s="275">
        <v>162.57</v>
      </c>
      <c r="O24" s="275">
        <v>206.69</v>
      </c>
      <c r="P24" s="126">
        <f t="shared" si="2"/>
        <v>0.27139078550778128</v>
      </c>
      <c r="Q24" s="274">
        <f t="shared" si="3"/>
        <v>44.120000000000005</v>
      </c>
    </row>
    <row r="25" spans="2:17" x14ac:dyDescent="0.25">
      <c r="B25" s="120" t="s">
        <v>62</v>
      </c>
      <c r="C25" s="270">
        <v>146.07</v>
      </c>
      <c r="D25" s="270">
        <v>134.66999999999999</v>
      </c>
      <c r="E25" s="270">
        <v>151.52000000000001</v>
      </c>
      <c r="F25" s="270">
        <v>180.18</v>
      </c>
      <c r="G25" s="270">
        <v>200.83</v>
      </c>
      <c r="H25" s="270">
        <v>207.41</v>
      </c>
      <c r="I25" s="122">
        <f t="shared" si="0"/>
        <v>3.2764029278494089E-2</v>
      </c>
      <c r="J25" s="270">
        <f t="shared" si="1"/>
        <v>6.5799999999999841</v>
      </c>
      <c r="K25" s="271">
        <v>207.04</v>
      </c>
      <c r="L25" s="271">
        <v>130.44</v>
      </c>
      <c r="M25" s="271">
        <v>184.83</v>
      </c>
      <c r="N25" s="271">
        <v>167.62</v>
      </c>
      <c r="O25" s="271">
        <v>214.86</v>
      </c>
      <c r="P25" s="122">
        <f t="shared" si="2"/>
        <v>0.28182794415940826</v>
      </c>
      <c r="Q25" s="270">
        <f t="shared" si="3"/>
        <v>47.240000000000009</v>
      </c>
    </row>
    <row r="26" spans="2:17" x14ac:dyDescent="0.25">
      <c r="B26" s="123" t="s">
        <v>63</v>
      </c>
      <c r="C26" s="272">
        <v>159.44</v>
      </c>
      <c r="D26" s="272">
        <v>0</v>
      </c>
      <c r="E26" s="272">
        <v>0</v>
      </c>
      <c r="F26" s="272">
        <v>0</v>
      </c>
      <c r="G26" s="272">
        <v>0</v>
      </c>
      <c r="H26" s="272">
        <v>0</v>
      </c>
      <c r="I26" s="124" t="str">
        <f t="shared" si="0"/>
        <v>-</v>
      </c>
      <c r="J26" s="272">
        <f t="shared" si="1"/>
        <v>0</v>
      </c>
      <c r="K26" s="273">
        <v>207.04</v>
      </c>
      <c r="L26" s="273">
        <v>0</v>
      </c>
      <c r="M26" s="273">
        <v>184.83</v>
      </c>
      <c r="N26" s="273">
        <v>0</v>
      </c>
      <c r="O26" s="273">
        <v>0</v>
      </c>
      <c r="P26" s="124" t="str">
        <f t="shared" si="2"/>
        <v>-</v>
      </c>
      <c r="Q26" s="272">
        <f t="shared" si="3"/>
        <v>0</v>
      </c>
    </row>
    <row r="27" spans="2:17" x14ac:dyDescent="0.25">
      <c r="B27" s="123" t="s">
        <v>64</v>
      </c>
      <c r="C27" s="272">
        <v>38.79</v>
      </c>
      <c r="D27" s="272">
        <v>0</v>
      </c>
      <c r="E27" s="272">
        <v>0</v>
      </c>
      <c r="F27" s="272">
        <v>0</v>
      </c>
      <c r="G27" s="272">
        <v>0</v>
      </c>
      <c r="H27" s="272">
        <v>0</v>
      </c>
      <c r="I27" s="124" t="str">
        <f t="shared" si="0"/>
        <v>-</v>
      </c>
      <c r="J27" s="272">
        <f t="shared" si="1"/>
        <v>0</v>
      </c>
      <c r="K27" s="273">
        <v>0</v>
      </c>
      <c r="L27" s="273">
        <v>0</v>
      </c>
      <c r="M27" s="273">
        <v>0</v>
      </c>
      <c r="N27" s="273">
        <v>0</v>
      </c>
      <c r="O27" s="273">
        <v>0</v>
      </c>
      <c r="P27" s="124" t="str">
        <f t="shared" si="2"/>
        <v>-</v>
      </c>
      <c r="Q27" s="272">
        <f t="shared" si="3"/>
        <v>0</v>
      </c>
    </row>
    <row r="28" spans="2:17" x14ac:dyDescent="0.25">
      <c r="B28" s="117" t="s">
        <v>50</v>
      </c>
      <c r="C28" s="274">
        <v>53.05</v>
      </c>
      <c r="D28" s="274">
        <v>53.52</v>
      </c>
      <c r="E28" s="274">
        <v>51.25</v>
      </c>
      <c r="F28" s="274">
        <v>59.12</v>
      </c>
      <c r="G28" s="274">
        <v>65.87</v>
      </c>
      <c r="H28" s="274">
        <v>74.569999999999993</v>
      </c>
      <c r="I28" s="126">
        <f t="shared" si="0"/>
        <v>0.13207833611659314</v>
      </c>
      <c r="J28" s="274">
        <f t="shared" si="1"/>
        <v>8.6999999999999886</v>
      </c>
      <c r="K28" s="275">
        <v>55.04</v>
      </c>
      <c r="L28" s="275">
        <v>59.93</v>
      </c>
      <c r="M28" s="275">
        <v>63.77</v>
      </c>
      <c r="N28" s="275">
        <v>73.88</v>
      </c>
      <c r="O28" s="275">
        <v>78.510000000000005</v>
      </c>
      <c r="P28" s="126">
        <f t="shared" si="2"/>
        <v>6.2669193286410518E-2</v>
      </c>
      <c r="Q28" s="274">
        <f t="shared" si="3"/>
        <v>4.6300000000000097</v>
      </c>
    </row>
    <row r="29" spans="2:17" x14ac:dyDescent="0.25">
      <c r="B29" s="120" t="s">
        <v>62</v>
      </c>
      <c r="C29" s="270">
        <v>55.71</v>
      </c>
      <c r="D29" s="270">
        <v>56.97</v>
      </c>
      <c r="E29" s="270">
        <v>54.03</v>
      </c>
      <c r="F29" s="270">
        <v>62.9</v>
      </c>
      <c r="G29" s="270">
        <v>69.91</v>
      </c>
      <c r="H29" s="270">
        <v>78.73</v>
      </c>
      <c r="I29" s="122">
        <f t="shared" si="0"/>
        <v>0.12616220855385496</v>
      </c>
      <c r="J29" s="270">
        <f t="shared" si="1"/>
        <v>8.8200000000000074</v>
      </c>
      <c r="K29" s="271">
        <v>57.32</v>
      </c>
      <c r="L29" s="271">
        <v>64.47</v>
      </c>
      <c r="M29" s="271">
        <v>67.08</v>
      </c>
      <c r="N29" s="271">
        <v>78.81</v>
      </c>
      <c r="O29" s="271">
        <v>84.46</v>
      </c>
      <c r="P29" s="122">
        <f t="shared" si="2"/>
        <v>7.1691409719578658E-2</v>
      </c>
      <c r="Q29" s="270">
        <f t="shared" si="3"/>
        <v>5.6499999999999915</v>
      </c>
    </row>
    <row r="30" spans="2:17" x14ac:dyDescent="0.25">
      <c r="B30" s="123" t="s">
        <v>63</v>
      </c>
      <c r="C30" s="272">
        <v>59.21</v>
      </c>
      <c r="D30" s="272">
        <v>59.93</v>
      </c>
      <c r="E30" s="272">
        <v>57.07</v>
      </c>
      <c r="F30" s="272">
        <v>65.52</v>
      </c>
      <c r="G30" s="272">
        <v>72.760000000000005</v>
      </c>
      <c r="H30" s="272">
        <v>81.77</v>
      </c>
      <c r="I30" s="124">
        <f t="shared" si="0"/>
        <v>0.1238317757009344</v>
      </c>
      <c r="J30" s="272">
        <f t="shared" si="1"/>
        <v>9.0099999999999909</v>
      </c>
      <c r="K30" s="273">
        <v>60.5</v>
      </c>
      <c r="L30" s="273">
        <v>67.55</v>
      </c>
      <c r="M30" s="273">
        <v>69.77</v>
      </c>
      <c r="N30" s="273">
        <v>82.21</v>
      </c>
      <c r="O30" s="273">
        <v>89.2</v>
      </c>
      <c r="P30" s="124">
        <f t="shared" si="2"/>
        <v>8.5026152536187949E-2</v>
      </c>
      <c r="Q30" s="272">
        <f t="shared" si="3"/>
        <v>6.9900000000000091</v>
      </c>
    </row>
    <row r="31" spans="2:17" x14ac:dyDescent="0.25">
      <c r="B31" s="123" t="s">
        <v>64</v>
      </c>
      <c r="C31" s="272">
        <v>40.03</v>
      </c>
      <c r="D31" s="272">
        <v>42.61</v>
      </c>
      <c r="E31" s="272">
        <v>41.43</v>
      </c>
      <c r="F31" s="272">
        <v>46.25</v>
      </c>
      <c r="G31" s="272">
        <v>50.96</v>
      </c>
      <c r="H31" s="272">
        <v>58.4</v>
      </c>
      <c r="I31" s="124">
        <f t="shared" si="0"/>
        <v>0.14599686028257453</v>
      </c>
      <c r="J31" s="272">
        <f t="shared" si="1"/>
        <v>7.4399999999999977</v>
      </c>
      <c r="K31" s="273">
        <v>42.09</v>
      </c>
      <c r="L31" s="273">
        <v>41.55</v>
      </c>
      <c r="M31" s="273">
        <v>47.63</v>
      </c>
      <c r="N31" s="273">
        <v>54.76</v>
      </c>
      <c r="O31" s="273">
        <v>52.81</v>
      </c>
      <c r="P31" s="124">
        <f t="shared" si="2"/>
        <v>-3.5609934258582832E-2</v>
      </c>
      <c r="Q31" s="272">
        <f t="shared" si="3"/>
        <v>-1.9499999999999957</v>
      </c>
    </row>
    <row r="32" spans="2:17" x14ac:dyDescent="0.25">
      <c r="B32" s="120" t="s">
        <v>65</v>
      </c>
      <c r="C32" s="270">
        <v>43</v>
      </c>
      <c r="D32" s="270">
        <v>43.27</v>
      </c>
      <c r="E32" s="270">
        <v>41.41</v>
      </c>
      <c r="F32" s="270">
        <v>43.49</v>
      </c>
      <c r="G32" s="270">
        <v>48.39</v>
      </c>
      <c r="H32" s="270">
        <v>55.8</v>
      </c>
      <c r="I32" s="122">
        <f t="shared" si="0"/>
        <v>0.15313081215127089</v>
      </c>
      <c r="J32" s="270">
        <f t="shared" si="1"/>
        <v>7.4099999999999966</v>
      </c>
      <c r="K32" s="271">
        <v>44</v>
      </c>
      <c r="L32" s="271">
        <v>40.64</v>
      </c>
      <c r="M32" s="271">
        <v>47.96</v>
      </c>
      <c r="N32" s="271">
        <v>50.9</v>
      </c>
      <c r="O32" s="271">
        <v>53.18</v>
      </c>
      <c r="P32" s="122">
        <f t="shared" si="2"/>
        <v>4.4793713163064908E-2</v>
      </c>
      <c r="Q32" s="270">
        <f t="shared" si="3"/>
        <v>2.2800000000000011</v>
      </c>
    </row>
    <row r="33" spans="2:17" x14ac:dyDescent="0.25">
      <c r="B33" s="117" t="s">
        <v>51</v>
      </c>
      <c r="C33" s="274">
        <v>81.38</v>
      </c>
      <c r="D33" s="274">
        <v>86.79</v>
      </c>
      <c r="E33" s="274">
        <v>84.44</v>
      </c>
      <c r="F33" s="274">
        <v>89.45</v>
      </c>
      <c r="G33" s="274">
        <v>98.5</v>
      </c>
      <c r="H33" s="274">
        <v>108.5</v>
      </c>
      <c r="I33" s="126">
        <f t="shared" si="0"/>
        <v>0.10152284263959399</v>
      </c>
      <c r="J33" s="274">
        <f t="shared" si="1"/>
        <v>10</v>
      </c>
      <c r="K33" s="275">
        <v>90.53</v>
      </c>
      <c r="L33" s="275">
        <v>96.39</v>
      </c>
      <c r="M33" s="275">
        <v>100.96</v>
      </c>
      <c r="N33" s="275">
        <v>101.59</v>
      </c>
      <c r="O33" s="275">
        <v>111.47</v>
      </c>
      <c r="P33" s="126">
        <f t="shared" si="2"/>
        <v>9.7253666699478325E-2</v>
      </c>
      <c r="Q33" s="274">
        <f t="shared" si="3"/>
        <v>9.8799999999999955</v>
      </c>
    </row>
    <row r="34" spans="2:17" x14ac:dyDescent="0.25">
      <c r="B34" s="120" t="s">
        <v>62</v>
      </c>
      <c r="C34" s="270">
        <v>81.38</v>
      </c>
      <c r="D34" s="270">
        <v>86.79</v>
      </c>
      <c r="E34" s="270">
        <v>84.44</v>
      </c>
      <c r="F34" s="270">
        <v>89.45</v>
      </c>
      <c r="G34" s="270">
        <v>98.5</v>
      </c>
      <c r="H34" s="270">
        <v>108.5</v>
      </c>
      <c r="I34" s="122">
        <f t="shared" si="0"/>
        <v>0.10152284263959399</v>
      </c>
      <c r="J34" s="270">
        <f t="shared" si="1"/>
        <v>10</v>
      </c>
      <c r="K34" s="271">
        <v>90.53</v>
      </c>
      <c r="L34" s="271">
        <v>96.39</v>
      </c>
      <c r="M34" s="271">
        <v>100.96</v>
      </c>
      <c r="N34" s="271">
        <v>101.59</v>
      </c>
      <c r="O34" s="271">
        <v>111.47</v>
      </c>
      <c r="P34" s="122">
        <f t="shared" si="2"/>
        <v>9.7253666699478325E-2</v>
      </c>
      <c r="Q34" s="270">
        <f t="shared" si="3"/>
        <v>9.8799999999999955</v>
      </c>
    </row>
    <row r="35" spans="2:17" x14ac:dyDescent="0.25">
      <c r="B35" s="117" t="s">
        <v>52</v>
      </c>
      <c r="C35" s="274">
        <v>85.19</v>
      </c>
      <c r="D35" s="274">
        <v>106.13</v>
      </c>
      <c r="E35" s="274">
        <v>125.31</v>
      </c>
      <c r="F35" s="274">
        <v>128.06</v>
      </c>
      <c r="G35" s="274">
        <v>149.08000000000001</v>
      </c>
      <c r="H35" s="274">
        <v>167.62</v>
      </c>
      <c r="I35" s="126">
        <f t="shared" si="0"/>
        <v>0.12436275825060372</v>
      </c>
      <c r="J35" s="274">
        <f t="shared" si="1"/>
        <v>18.539999999999992</v>
      </c>
      <c r="K35" s="275">
        <v>124.48</v>
      </c>
      <c r="L35" s="275">
        <v>143.53</v>
      </c>
      <c r="M35" s="275">
        <v>187.62</v>
      </c>
      <c r="N35" s="275">
        <v>173.54</v>
      </c>
      <c r="O35" s="275">
        <v>186.02</v>
      </c>
      <c r="P35" s="126">
        <f t="shared" si="2"/>
        <v>7.1914256079290251E-2</v>
      </c>
      <c r="Q35" s="274">
        <f t="shared" si="3"/>
        <v>12.480000000000018</v>
      </c>
    </row>
    <row r="36" spans="2:17" x14ac:dyDescent="0.25">
      <c r="B36" s="120" t="s">
        <v>62</v>
      </c>
      <c r="C36" s="270">
        <v>112.85</v>
      </c>
      <c r="D36" s="270">
        <v>133.72</v>
      </c>
      <c r="E36" s="270">
        <v>131.41999999999999</v>
      </c>
      <c r="F36" s="270">
        <v>137.6</v>
      </c>
      <c r="G36" s="270">
        <v>157.49</v>
      </c>
      <c r="H36" s="270">
        <v>177.79</v>
      </c>
      <c r="I36" s="122">
        <f t="shared" si="0"/>
        <v>0.12889707283002094</v>
      </c>
      <c r="J36" s="270">
        <f t="shared" si="1"/>
        <v>20.299999999999983</v>
      </c>
      <c r="K36" s="271">
        <v>131.44</v>
      </c>
      <c r="L36" s="271">
        <v>153.44</v>
      </c>
      <c r="M36" s="271">
        <v>205.18</v>
      </c>
      <c r="N36" s="271">
        <v>185.32</v>
      </c>
      <c r="O36" s="271">
        <v>199.38</v>
      </c>
      <c r="P36" s="122">
        <f t="shared" si="2"/>
        <v>7.5868767537232928E-2</v>
      </c>
      <c r="Q36" s="270">
        <f t="shared" si="3"/>
        <v>14.060000000000002</v>
      </c>
    </row>
    <row r="37" spans="2:17" x14ac:dyDescent="0.25">
      <c r="B37" s="120" t="s">
        <v>65</v>
      </c>
      <c r="C37" s="270">
        <v>55.99</v>
      </c>
      <c r="D37" s="270">
        <v>41.89</v>
      </c>
      <c r="E37" s="270">
        <v>74.180000000000007</v>
      </c>
      <c r="F37" s="270">
        <v>78.69</v>
      </c>
      <c r="G37" s="270">
        <v>104.15</v>
      </c>
      <c r="H37" s="270">
        <v>109.88</v>
      </c>
      <c r="I37" s="122">
        <f t="shared" si="0"/>
        <v>5.5016802688430122E-2</v>
      </c>
      <c r="J37" s="270">
        <f t="shared" si="1"/>
        <v>5.7299999999999898</v>
      </c>
      <c r="K37" s="271">
        <v>81.41</v>
      </c>
      <c r="L37" s="271">
        <v>91.89</v>
      </c>
      <c r="M37" s="271">
        <v>91.17</v>
      </c>
      <c r="N37" s="271">
        <v>106.48</v>
      </c>
      <c r="O37" s="271">
        <v>117.48</v>
      </c>
      <c r="P37" s="122">
        <f t="shared" si="2"/>
        <v>0.10330578512396693</v>
      </c>
      <c r="Q37" s="270">
        <f t="shared" si="3"/>
        <v>11</v>
      </c>
    </row>
    <row r="38" spans="2:17" x14ac:dyDescent="0.25">
      <c r="B38" s="117" t="s">
        <v>53</v>
      </c>
      <c r="C38" s="274">
        <v>63.43</v>
      </c>
      <c r="D38" s="274">
        <v>64.19</v>
      </c>
      <c r="E38" s="274">
        <v>68.989999999999995</v>
      </c>
      <c r="F38" s="274">
        <v>76.34</v>
      </c>
      <c r="G38" s="274">
        <v>86.65</v>
      </c>
      <c r="H38" s="274">
        <v>96.86</v>
      </c>
      <c r="I38" s="126">
        <f t="shared" si="0"/>
        <v>0.1178303519907673</v>
      </c>
      <c r="J38" s="274">
        <f t="shared" si="1"/>
        <v>10.209999999999994</v>
      </c>
      <c r="K38" s="275">
        <v>71.91</v>
      </c>
      <c r="L38" s="275">
        <v>73.739999999999995</v>
      </c>
      <c r="M38" s="275">
        <v>86.81</v>
      </c>
      <c r="N38" s="275">
        <v>94.49</v>
      </c>
      <c r="O38" s="275">
        <v>102.48</v>
      </c>
      <c r="P38" s="126">
        <f t="shared" si="2"/>
        <v>8.4559212615091583E-2</v>
      </c>
      <c r="Q38" s="274">
        <f t="shared" si="3"/>
        <v>7.9900000000000091</v>
      </c>
    </row>
    <row r="39" spans="2:17" x14ac:dyDescent="0.25">
      <c r="B39" s="120" t="s">
        <v>62</v>
      </c>
      <c r="C39" s="270">
        <v>63.43</v>
      </c>
      <c r="D39" s="270">
        <v>64.19</v>
      </c>
      <c r="E39" s="270">
        <v>68.989999999999995</v>
      </c>
      <c r="F39" s="270">
        <v>76.34</v>
      </c>
      <c r="G39" s="270">
        <v>86.65</v>
      </c>
      <c r="H39" s="270">
        <v>96.86</v>
      </c>
      <c r="I39" s="122">
        <f t="shared" si="0"/>
        <v>0.1178303519907673</v>
      </c>
      <c r="J39" s="270">
        <f t="shared" si="1"/>
        <v>10.209999999999994</v>
      </c>
      <c r="K39" s="271">
        <v>71.91</v>
      </c>
      <c r="L39" s="271">
        <v>73.739999999999995</v>
      </c>
      <c r="M39" s="271">
        <v>86.81</v>
      </c>
      <c r="N39" s="271">
        <v>94.49</v>
      </c>
      <c r="O39" s="271">
        <v>102.48</v>
      </c>
      <c r="P39" s="122">
        <f t="shared" si="2"/>
        <v>8.4559212615091583E-2</v>
      </c>
      <c r="Q39" s="270">
        <f t="shared" si="3"/>
        <v>7.9900000000000091</v>
      </c>
    </row>
    <row r="40" spans="2:17" x14ac:dyDescent="0.25">
      <c r="B40" s="123" t="s">
        <v>63</v>
      </c>
      <c r="C40" s="272">
        <v>80.7</v>
      </c>
      <c r="D40" s="272">
        <v>76.319999999999993</v>
      </c>
      <c r="E40" s="272">
        <v>76.47</v>
      </c>
      <c r="F40" s="272">
        <v>90.03</v>
      </c>
      <c r="G40" s="272">
        <v>101.46</v>
      </c>
      <c r="H40" s="272">
        <v>115.08</v>
      </c>
      <c r="I40" s="124">
        <f t="shared" si="0"/>
        <v>0.13424009461856889</v>
      </c>
      <c r="J40" s="272">
        <f t="shared" si="1"/>
        <v>13.620000000000005</v>
      </c>
      <c r="K40" s="273">
        <v>80.25</v>
      </c>
      <c r="L40" s="273">
        <v>89.84</v>
      </c>
      <c r="M40" s="273">
        <v>102.34</v>
      </c>
      <c r="N40" s="273">
        <v>108.8</v>
      </c>
      <c r="O40" s="273">
        <v>116.5</v>
      </c>
      <c r="P40" s="124">
        <f t="shared" si="2"/>
        <v>7.0772058823529438E-2</v>
      </c>
      <c r="Q40" s="272">
        <f t="shared" si="3"/>
        <v>7.7000000000000028</v>
      </c>
    </row>
    <row r="41" spans="2:17" x14ac:dyDescent="0.25">
      <c r="B41" s="123" t="s">
        <v>64</v>
      </c>
      <c r="C41" s="272">
        <v>47.71</v>
      </c>
      <c r="D41" s="272">
        <v>52.19</v>
      </c>
      <c r="E41" s="272">
        <v>57.98</v>
      </c>
      <c r="F41" s="272">
        <v>57.94</v>
      </c>
      <c r="G41" s="272">
        <v>67.42</v>
      </c>
      <c r="H41" s="272">
        <v>70.06</v>
      </c>
      <c r="I41" s="124">
        <f t="shared" si="0"/>
        <v>3.915752002373174E-2</v>
      </c>
      <c r="J41" s="272">
        <f t="shared" si="1"/>
        <v>2.6400000000000006</v>
      </c>
      <c r="K41" s="273">
        <v>58.47</v>
      </c>
      <c r="L41" s="273">
        <v>54.99</v>
      </c>
      <c r="M41" s="273">
        <v>67.8</v>
      </c>
      <c r="N41" s="273">
        <v>67.08</v>
      </c>
      <c r="O41" s="273">
        <v>76.73</v>
      </c>
      <c r="P41" s="124">
        <f t="shared" si="2"/>
        <v>0.14385807990459165</v>
      </c>
      <c r="Q41" s="272">
        <f t="shared" si="3"/>
        <v>9.6500000000000057</v>
      </c>
    </row>
    <row r="42" spans="2:17" x14ac:dyDescent="0.25">
      <c r="B42" s="117" t="s">
        <v>54</v>
      </c>
      <c r="C42" s="274">
        <v>92.8</v>
      </c>
      <c r="D42" s="274">
        <v>102.24</v>
      </c>
      <c r="E42" s="274">
        <v>98.71</v>
      </c>
      <c r="F42" s="274">
        <v>114.5</v>
      </c>
      <c r="G42" s="274">
        <v>129.04</v>
      </c>
      <c r="H42" s="274">
        <v>138.44999999999999</v>
      </c>
      <c r="I42" s="126">
        <f t="shared" si="0"/>
        <v>7.292312461252326E-2</v>
      </c>
      <c r="J42" s="274">
        <f t="shared" si="1"/>
        <v>9.4099999999999966</v>
      </c>
      <c r="K42" s="275">
        <v>103.01</v>
      </c>
      <c r="L42" s="275">
        <v>109.34</v>
      </c>
      <c r="M42" s="275">
        <v>129.44999999999999</v>
      </c>
      <c r="N42" s="275">
        <v>135.47</v>
      </c>
      <c r="O42" s="275">
        <v>117.52</v>
      </c>
      <c r="P42" s="126">
        <f t="shared" si="2"/>
        <v>-0.13250166088432869</v>
      </c>
      <c r="Q42" s="274">
        <f t="shared" si="3"/>
        <v>-17.950000000000003</v>
      </c>
    </row>
    <row r="43" spans="2:17" x14ac:dyDescent="0.25">
      <c r="B43" s="120" t="s">
        <v>62</v>
      </c>
      <c r="C43" s="270">
        <v>97.8</v>
      </c>
      <c r="D43" s="270">
        <v>108.14</v>
      </c>
      <c r="E43" s="270">
        <v>104.52</v>
      </c>
      <c r="F43" s="270">
        <v>121.1</v>
      </c>
      <c r="G43" s="270">
        <v>137.22999999999999</v>
      </c>
      <c r="H43" s="270">
        <v>145.38999999999999</v>
      </c>
      <c r="I43" s="122">
        <f t="shared" si="0"/>
        <v>5.9462216716461347E-2</v>
      </c>
      <c r="J43" s="270">
        <f t="shared" si="1"/>
        <v>8.1599999999999966</v>
      </c>
      <c r="K43" s="271">
        <v>108.62</v>
      </c>
      <c r="L43" s="271">
        <v>116.01</v>
      </c>
      <c r="M43" s="271">
        <v>137.91999999999999</v>
      </c>
      <c r="N43" s="271">
        <v>144.33000000000001</v>
      </c>
      <c r="O43" s="271">
        <v>122.62</v>
      </c>
      <c r="P43" s="122">
        <f t="shared" si="2"/>
        <v>-0.15041917827201556</v>
      </c>
      <c r="Q43" s="270">
        <f t="shared" si="3"/>
        <v>-21.710000000000008</v>
      </c>
    </row>
    <row r="44" spans="2:17" x14ac:dyDescent="0.25">
      <c r="B44" s="123" t="s">
        <v>63</v>
      </c>
      <c r="C44" s="272">
        <v>101.92</v>
      </c>
      <c r="D44" s="272">
        <v>0</v>
      </c>
      <c r="E44" s="272">
        <v>111.35</v>
      </c>
      <c r="F44" s="272">
        <v>128.75</v>
      </c>
      <c r="G44" s="272">
        <v>146.41</v>
      </c>
      <c r="H44" s="272">
        <v>153.15</v>
      </c>
      <c r="I44" s="124">
        <f t="shared" si="0"/>
        <v>4.6035106891605837E-2</v>
      </c>
      <c r="J44" s="272">
        <f t="shared" si="1"/>
        <v>6.7400000000000091</v>
      </c>
      <c r="K44" s="273">
        <v>114.63</v>
      </c>
      <c r="L44" s="273">
        <v>124.89</v>
      </c>
      <c r="M44" s="273">
        <v>145.19</v>
      </c>
      <c r="N44" s="273">
        <v>150.58000000000001</v>
      </c>
      <c r="O44" s="273">
        <v>125.22</v>
      </c>
      <c r="P44" s="124">
        <f t="shared" si="2"/>
        <v>-0.16841546022048093</v>
      </c>
      <c r="Q44" s="272">
        <f t="shared" si="3"/>
        <v>-25.360000000000014</v>
      </c>
    </row>
    <row r="45" spans="2:17" x14ac:dyDescent="0.25">
      <c r="B45" s="123" t="s">
        <v>64</v>
      </c>
      <c r="C45" s="272">
        <v>81.52</v>
      </c>
      <c r="D45" s="272">
        <v>0</v>
      </c>
      <c r="E45" s="272">
        <v>79.67</v>
      </c>
      <c r="F45" s="272">
        <v>92.67</v>
      </c>
      <c r="G45" s="272">
        <v>100.97</v>
      </c>
      <c r="H45" s="272">
        <v>114.46</v>
      </c>
      <c r="I45" s="124">
        <f t="shared" si="0"/>
        <v>0.13360404080419919</v>
      </c>
      <c r="J45" s="272">
        <f t="shared" si="1"/>
        <v>13.489999999999995</v>
      </c>
      <c r="K45" s="273">
        <v>83.9</v>
      </c>
      <c r="L45" s="273">
        <v>79.3</v>
      </c>
      <c r="M45" s="273">
        <v>106.88</v>
      </c>
      <c r="N45" s="273">
        <v>117.15</v>
      </c>
      <c r="O45" s="273">
        <v>112.36</v>
      </c>
      <c r="P45" s="124">
        <f t="shared" si="2"/>
        <v>-4.088775074690576E-2</v>
      </c>
      <c r="Q45" s="272">
        <f t="shared" si="3"/>
        <v>-4.7900000000000063</v>
      </c>
    </row>
    <row r="46" spans="2:17" x14ac:dyDescent="0.25">
      <c r="B46" s="120" t="s">
        <v>65</v>
      </c>
      <c r="C46" s="270">
        <v>74.09</v>
      </c>
      <c r="D46" s="270">
        <v>76.39</v>
      </c>
      <c r="E46" s="270">
        <v>66.930000000000007</v>
      </c>
      <c r="F46" s="270">
        <v>72.900000000000006</v>
      </c>
      <c r="G46" s="270">
        <v>77.459999999999994</v>
      </c>
      <c r="H46" s="270">
        <v>94.86</v>
      </c>
      <c r="I46" s="122">
        <f t="shared" si="0"/>
        <v>0.22463206816421377</v>
      </c>
      <c r="J46" s="270">
        <f t="shared" si="1"/>
        <v>17.400000000000006</v>
      </c>
      <c r="K46" s="271">
        <v>65.06</v>
      </c>
      <c r="L46" s="271">
        <v>65.34</v>
      </c>
      <c r="M46" s="271">
        <v>74.95</v>
      </c>
      <c r="N46" s="271">
        <v>79.400000000000006</v>
      </c>
      <c r="O46" s="271">
        <v>88.25</v>
      </c>
      <c r="P46" s="122">
        <f t="shared" si="2"/>
        <v>0.11146095717884119</v>
      </c>
      <c r="Q46" s="270">
        <f t="shared" si="3"/>
        <v>8.8499999999999943</v>
      </c>
    </row>
    <row r="47" spans="2:17" x14ac:dyDescent="0.25">
      <c r="B47" s="117" t="s">
        <v>55</v>
      </c>
      <c r="C47" s="274">
        <v>55.1</v>
      </c>
      <c r="D47" s="274">
        <v>58.1</v>
      </c>
      <c r="E47" s="274">
        <v>74.28</v>
      </c>
      <c r="F47" s="274">
        <v>64.23</v>
      </c>
      <c r="G47" s="274">
        <v>69.86</v>
      </c>
      <c r="H47" s="274">
        <v>72.739999999999995</v>
      </c>
      <c r="I47" s="126">
        <f t="shared" si="0"/>
        <v>4.1225307758373742E-2</v>
      </c>
      <c r="J47" s="274">
        <f t="shared" si="1"/>
        <v>2.8799999999999955</v>
      </c>
      <c r="K47" s="275">
        <v>75.3</v>
      </c>
      <c r="L47" s="275">
        <v>63.81</v>
      </c>
      <c r="M47" s="275">
        <v>71.709999999999994</v>
      </c>
      <c r="N47" s="275">
        <v>69.08</v>
      </c>
      <c r="O47" s="275">
        <v>70.22</v>
      </c>
      <c r="P47" s="126">
        <f t="shared" si="2"/>
        <v>1.6502605674580284E-2</v>
      </c>
      <c r="Q47" s="274">
        <f t="shared" si="3"/>
        <v>1.1400000000000006</v>
      </c>
    </row>
    <row r="48" spans="2:17" x14ac:dyDescent="0.25">
      <c r="B48" s="120" t="s">
        <v>62</v>
      </c>
      <c r="C48" s="270">
        <v>55.02</v>
      </c>
      <c r="D48" s="270">
        <v>57.83</v>
      </c>
      <c r="E48" s="270">
        <v>74.63</v>
      </c>
      <c r="F48" s="270">
        <v>64.650000000000006</v>
      </c>
      <c r="G48" s="270">
        <v>69.94</v>
      </c>
      <c r="H48" s="270">
        <v>73.959999999999994</v>
      </c>
      <c r="I48" s="122">
        <f t="shared" si="0"/>
        <v>5.7477838146983151E-2</v>
      </c>
      <c r="J48" s="270">
        <f t="shared" si="1"/>
        <v>4.019999999999996</v>
      </c>
      <c r="K48" s="271">
        <v>75.709999999999994</v>
      </c>
      <c r="L48" s="271">
        <v>64.650000000000006</v>
      </c>
      <c r="M48" s="271">
        <v>72.959999999999994</v>
      </c>
      <c r="N48" s="271">
        <v>70</v>
      </c>
      <c r="O48" s="271">
        <v>72.349999999999994</v>
      </c>
      <c r="P48" s="122">
        <f t="shared" si="2"/>
        <v>3.3571428571428585E-2</v>
      </c>
      <c r="Q48" s="270">
        <f t="shared" si="3"/>
        <v>2.3499999999999943</v>
      </c>
    </row>
    <row r="49" spans="2:17" x14ac:dyDescent="0.25">
      <c r="B49" s="123" t="s">
        <v>63</v>
      </c>
      <c r="C49" s="272">
        <v>58.12</v>
      </c>
      <c r="D49" s="272">
        <v>59.72</v>
      </c>
      <c r="E49" s="272">
        <v>75.540000000000006</v>
      </c>
      <c r="F49" s="272">
        <v>69.69</v>
      </c>
      <c r="G49" s="272">
        <v>76.47</v>
      </c>
      <c r="H49" s="272">
        <v>79.3</v>
      </c>
      <c r="I49" s="124">
        <f t="shared" si="0"/>
        <v>3.7007976984438251E-2</v>
      </c>
      <c r="J49" s="272">
        <f t="shared" si="1"/>
        <v>2.8299999999999983</v>
      </c>
      <c r="K49" s="273">
        <v>77.48</v>
      </c>
      <c r="L49" s="273">
        <v>71.8</v>
      </c>
      <c r="M49" s="273">
        <v>76.650000000000006</v>
      </c>
      <c r="N49" s="273">
        <v>73.790000000000006</v>
      </c>
      <c r="O49" s="273">
        <v>71.41</v>
      </c>
      <c r="P49" s="124">
        <f t="shared" si="2"/>
        <v>-3.2253692912318832E-2</v>
      </c>
      <c r="Q49" s="272">
        <f t="shared" si="3"/>
        <v>-2.3800000000000097</v>
      </c>
    </row>
    <row r="50" spans="2:17" x14ac:dyDescent="0.25">
      <c r="B50" s="123" t="s">
        <v>64</v>
      </c>
      <c r="C50" s="272">
        <v>43.08</v>
      </c>
      <c r="D50" s="272">
        <v>52.07</v>
      </c>
      <c r="E50" s="272">
        <v>70.77</v>
      </c>
      <c r="F50" s="272">
        <v>51.36</v>
      </c>
      <c r="G50" s="272">
        <v>51.21</v>
      </c>
      <c r="H50" s="272">
        <v>60.22</v>
      </c>
      <c r="I50" s="124">
        <f t="shared" si="0"/>
        <v>0.17594219878929884</v>
      </c>
      <c r="J50" s="272">
        <f t="shared" si="1"/>
        <v>9.009999999999998</v>
      </c>
      <c r="K50" s="273">
        <v>65.38</v>
      </c>
      <c r="L50" s="273">
        <v>48.29</v>
      </c>
      <c r="M50" s="273">
        <v>60.13</v>
      </c>
      <c r="N50" s="273">
        <v>59.69</v>
      </c>
      <c r="O50" s="273">
        <v>76.03</v>
      </c>
      <c r="P50" s="124">
        <f t="shared" si="2"/>
        <v>0.27374769643156305</v>
      </c>
      <c r="Q50" s="272">
        <f t="shared" si="3"/>
        <v>16.340000000000003</v>
      </c>
    </row>
    <row r="51" spans="2:17" x14ac:dyDescent="0.25">
      <c r="B51" s="120" t="s">
        <v>65</v>
      </c>
      <c r="C51" s="270">
        <v>56.8</v>
      </c>
      <c r="D51" s="270">
        <v>83.93</v>
      </c>
      <c r="E51" s="270">
        <v>154.72</v>
      </c>
      <c r="F51" s="270">
        <v>191.76</v>
      </c>
      <c r="G51" s="270">
        <v>163.5</v>
      </c>
      <c r="H51" s="270">
        <v>87.87</v>
      </c>
      <c r="I51" s="122">
        <f t="shared" si="0"/>
        <v>-0.46256880733944949</v>
      </c>
      <c r="J51" s="270">
        <f t="shared" si="1"/>
        <v>-75.63</v>
      </c>
      <c r="K51" s="271">
        <v>64.89</v>
      </c>
      <c r="L51" s="271">
        <v>211.45</v>
      </c>
      <c r="M51" s="271">
        <v>171.8</v>
      </c>
      <c r="N51" s="271">
        <v>100.32</v>
      </c>
      <c r="O51" s="271">
        <v>95.42</v>
      </c>
      <c r="P51" s="122">
        <f t="shared" si="2"/>
        <v>-4.8843700159489578E-2</v>
      </c>
      <c r="Q51" s="270">
        <f t="shared" si="3"/>
        <v>-4.8999999999999915</v>
      </c>
    </row>
    <row r="52" spans="2:17" ht="6.95" customHeight="1" x14ac:dyDescent="0.25">
      <c r="B52" s="127"/>
      <c r="C52" s="128"/>
      <c r="D52" s="128"/>
      <c r="E52" s="128"/>
      <c r="F52" s="128"/>
      <c r="G52" s="129"/>
      <c r="H52" s="128"/>
      <c r="I52" s="130"/>
      <c r="J52" s="128"/>
      <c r="K52" s="128"/>
      <c r="L52" s="128"/>
      <c r="M52" s="128"/>
      <c r="N52" s="128"/>
      <c r="O52" s="130"/>
      <c r="P52" s="130"/>
      <c r="Q52" s="130"/>
    </row>
    <row r="53" spans="2:17" ht="15" customHeight="1" x14ac:dyDescent="0.25">
      <c r="B53" s="131" t="s">
        <v>57</v>
      </c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</row>
  </sheetData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A4BBF-1821-4CAB-AEAA-C6C04B9B84E9}">
  <sheetPr>
    <tabColor theme="2" tint="-9.9978637043366805E-2"/>
  </sheetPr>
  <dimension ref="B1:Q53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106" t="str">
        <f>CONCATENATE("Ingresos medios por habitación (RevPar) Tenerife y municipios")</f>
        <v>Ingresos medios por habitación (RevPar)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2:17" ht="6.95" customHeight="1" thickBot="1" x14ac:dyDescent="0.3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8"/>
      <c r="P4" s="108"/>
      <c r="Q4" s="108"/>
    </row>
    <row r="5" spans="2:17" ht="59.25" customHeight="1" x14ac:dyDescent="0.25">
      <c r="B5" s="114"/>
      <c r="C5" s="15">
        <v>2019</v>
      </c>
      <c r="D5" s="15">
        <v>2020</v>
      </c>
      <c r="E5" s="15">
        <v>2021</v>
      </c>
      <c r="F5" s="15">
        <v>2022</v>
      </c>
      <c r="G5" s="15">
        <v>2023</v>
      </c>
      <c r="H5" s="15">
        <v>2024</v>
      </c>
      <c r="I5" s="115" t="str">
        <f>CONCATENATE("var. ",RIGHT(H5,2),"/",RIGHT(G5,2))</f>
        <v>var. 24/23</v>
      </c>
      <c r="J5" s="115" t="str">
        <f>CONCATENATE("dif. ",RIGHT(H5,2),"/",RIGHT(G5,2))</f>
        <v>dif. 24/23</v>
      </c>
      <c r="K5" s="116" t="s">
        <v>228</v>
      </c>
      <c r="L5" s="116" t="s">
        <v>229</v>
      </c>
      <c r="M5" s="116" t="s">
        <v>230</v>
      </c>
      <c r="N5" s="116" t="s">
        <v>231</v>
      </c>
      <c r="O5" s="116" t="s">
        <v>232</v>
      </c>
      <c r="P5" s="115" t="str">
        <f>CONCATENATE("var. ",RIGHT(O5,2),"/",RIGHT(N5,2))</f>
        <v>var. 25/24</v>
      </c>
      <c r="Q5" s="115" t="str">
        <f>CONCATENATE("dif. ",RIGHT(O5,2),"/",RIGHT(N5,2))</f>
        <v>dif. 25/24</v>
      </c>
    </row>
    <row r="6" spans="2:17" x14ac:dyDescent="0.25">
      <c r="B6" s="117" t="s">
        <v>45</v>
      </c>
      <c r="C6" s="268">
        <v>70.459999999999994</v>
      </c>
      <c r="D6" s="268">
        <v>48.13</v>
      </c>
      <c r="E6" s="268">
        <v>53</v>
      </c>
      <c r="F6" s="268">
        <v>80.58</v>
      </c>
      <c r="G6" s="268">
        <v>93.24</v>
      </c>
      <c r="H6" s="268">
        <v>104.71</v>
      </c>
      <c r="I6" s="119">
        <f t="shared" ref="I6:I51" si="0">IFERROR(H6/G6-1,"-")</f>
        <v>0.12301587301587302</v>
      </c>
      <c r="J6" s="268">
        <f t="shared" ref="J6:J51" si="1">IFERROR(H6-G6,"-")</f>
        <v>11.469999999999999</v>
      </c>
      <c r="K6" s="269">
        <v>76.52</v>
      </c>
      <c r="L6" s="269">
        <v>83.26</v>
      </c>
      <c r="M6" s="269">
        <v>94.83</v>
      </c>
      <c r="N6" s="269">
        <v>104.38</v>
      </c>
      <c r="O6" s="269">
        <v>109.23</v>
      </c>
      <c r="P6" s="119">
        <f t="shared" ref="P6:P51" si="2">IFERROR(O6/N6-1,"-")</f>
        <v>4.6464840007664376E-2</v>
      </c>
      <c r="Q6" s="268">
        <f t="shared" ref="Q6:Q51" si="3">IFERROR(O6-N6,"-")</f>
        <v>4.8500000000000085</v>
      </c>
    </row>
    <row r="7" spans="2:17" x14ac:dyDescent="0.25">
      <c r="B7" s="120" t="s">
        <v>62</v>
      </c>
      <c r="C7" s="270">
        <v>77.33</v>
      </c>
      <c r="D7" s="270">
        <v>53.19</v>
      </c>
      <c r="E7" s="270">
        <v>60.01</v>
      </c>
      <c r="F7" s="270">
        <v>88.2</v>
      </c>
      <c r="G7" s="270">
        <v>102.89</v>
      </c>
      <c r="H7" s="270">
        <v>114.62</v>
      </c>
      <c r="I7" s="122">
        <f t="shared" si="0"/>
        <v>0.11400524832345238</v>
      </c>
      <c r="J7" s="270">
        <f t="shared" si="1"/>
        <v>11.730000000000004</v>
      </c>
      <c r="K7" s="271">
        <v>85.66</v>
      </c>
      <c r="L7" s="271">
        <v>92.41</v>
      </c>
      <c r="M7" s="271">
        <v>105.42</v>
      </c>
      <c r="N7" s="271">
        <v>114.72</v>
      </c>
      <c r="O7" s="271">
        <v>119.67</v>
      </c>
      <c r="P7" s="122">
        <f t="shared" si="2"/>
        <v>4.3148535564853541E-2</v>
      </c>
      <c r="Q7" s="270">
        <f t="shared" si="3"/>
        <v>4.9500000000000028</v>
      </c>
    </row>
    <row r="8" spans="2:17" x14ac:dyDescent="0.25">
      <c r="B8" s="123" t="s">
        <v>63</v>
      </c>
      <c r="C8" s="272">
        <v>85.32</v>
      </c>
      <c r="D8" s="272">
        <v>58.8</v>
      </c>
      <c r="E8" s="272">
        <v>66.349999999999994</v>
      </c>
      <c r="F8" s="272">
        <v>96.91</v>
      </c>
      <c r="G8" s="272">
        <v>111.61</v>
      </c>
      <c r="H8" s="272">
        <v>124.26</v>
      </c>
      <c r="I8" s="124">
        <f t="shared" si="0"/>
        <v>0.11334109846787932</v>
      </c>
      <c r="J8" s="272">
        <f t="shared" si="1"/>
        <v>12.650000000000006</v>
      </c>
      <c r="K8" s="273">
        <v>95.59</v>
      </c>
      <c r="L8" s="273">
        <v>102.47</v>
      </c>
      <c r="M8" s="273">
        <v>114.7</v>
      </c>
      <c r="N8" s="273">
        <v>124.86</v>
      </c>
      <c r="O8" s="273">
        <v>129.43</v>
      </c>
      <c r="P8" s="124">
        <f t="shared" si="2"/>
        <v>3.6600993112285929E-2</v>
      </c>
      <c r="Q8" s="272">
        <f t="shared" si="3"/>
        <v>4.5700000000000074</v>
      </c>
    </row>
    <row r="9" spans="2:17" x14ac:dyDescent="0.25">
      <c r="B9" s="123" t="s">
        <v>64</v>
      </c>
      <c r="C9" s="272">
        <v>46.17</v>
      </c>
      <c r="D9" s="272">
        <v>29.69</v>
      </c>
      <c r="E9" s="272">
        <v>31.06</v>
      </c>
      <c r="F9" s="272">
        <v>47.58</v>
      </c>
      <c r="G9" s="272">
        <v>59.03</v>
      </c>
      <c r="H9" s="272">
        <v>65.099999999999994</v>
      </c>
      <c r="I9" s="124">
        <f t="shared" si="0"/>
        <v>0.10282906996442476</v>
      </c>
      <c r="J9" s="272">
        <f t="shared" si="1"/>
        <v>6.0699999999999932</v>
      </c>
      <c r="K9" s="273">
        <v>40.68</v>
      </c>
      <c r="L9" s="273">
        <v>46.34</v>
      </c>
      <c r="M9" s="273">
        <v>57.46</v>
      </c>
      <c r="N9" s="273">
        <v>61.48</v>
      </c>
      <c r="O9" s="273">
        <v>67.23</v>
      </c>
      <c r="P9" s="124">
        <f t="shared" si="2"/>
        <v>9.3526350032530958E-2</v>
      </c>
      <c r="Q9" s="272">
        <f t="shared" si="3"/>
        <v>5.7500000000000071</v>
      </c>
    </row>
    <row r="10" spans="2:17" x14ac:dyDescent="0.25">
      <c r="B10" s="120" t="s">
        <v>65</v>
      </c>
      <c r="C10" s="270">
        <v>51.25</v>
      </c>
      <c r="D10" s="270">
        <v>33.86</v>
      </c>
      <c r="E10" s="270">
        <v>30.93</v>
      </c>
      <c r="F10" s="270">
        <v>53.23</v>
      </c>
      <c r="G10" s="270">
        <v>60.79</v>
      </c>
      <c r="H10" s="270">
        <v>70.290000000000006</v>
      </c>
      <c r="I10" s="122">
        <f t="shared" si="0"/>
        <v>0.15627570324066475</v>
      </c>
      <c r="J10" s="270">
        <f t="shared" si="1"/>
        <v>9.5000000000000071</v>
      </c>
      <c r="K10" s="271">
        <v>40.880000000000003</v>
      </c>
      <c r="L10" s="271">
        <v>51.29</v>
      </c>
      <c r="M10" s="271">
        <v>59.19</v>
      </c>
      <c r="N10" s="271">
        <v>68.28</v>
      </c>
      <c r="O10" s="271">
        <v>73.88</v>
      </c>
      <c r="P10" s="122">
        <f t="shared" si="2"/>
        <v>8.2015231400117017E-2</v>
      </c>
      <c r="Q10" s="270">
        <f t="shared" si="3"/>
        <v>5.5999999999999943</v>
      </c>
    </row>
    <row r="11" spans="2:17" x14ac:dyDescent="0.25">
      <c r="B11" s="117" t="s">
        <v>46</v>
      </c>
      <c r="C11" s="274">
        <v>89.94</v>
      </c>
      <c r="D11" s="274">
        <v>61.17</v>
      </c>
      <c r="E11" s="274">
        <v>72.88</v>
      </c>
      <c r="F11" s="274">
        <v>107.72</v>
      </c>
      <c r="G11" s="274">
        <v>119.35</v>
      </c>
      <c r="H11" s="274">
        <v>131.18</v>
      </c>
      <c r="I11" s="126">
        <f t="shared" si="0"/>
        <v>9.9120234604105573E-2</v>
      </c>
      <c r="J11" s="274">
        <f t="shared" si="1"/>
        <v>11.830000000000013</v>
      </c>
      <c r="K11" s="275">
        <v>106</v>
      </c>
      <c r="L11" s="275">
        <v>112.13</v>
      </c>
      <c r="M11" s="275">
        <v>121.45</v>
      </c>
      <c r="N11" s="275">
        <v>131.94</v>
      </c>
      <c r="O11" s="275">
        <v>134.38</v>
      </c>
      <c r="P11" s="126">
        <f t="shared" si="2"/>
        <v>1.8493254509625467E-2</v>
      </c>
      <c r="Q11" s="274">
        <f t="shared" si="3"/>
        <v>2.4399999999999977</v>
      </c>
    </row>
    <row r="12" spans="2:17" x14ac:dyDescent="0.25">
      <c r="B12" s="120" t="s">
        <v>62</v>
      </c>
      <c r="C12" s="270">
        <v>98.21</v>
      </c>
      <c r="D12" s="270">
        <v>66.36</v>
      </c>
      <c r="E12" s="270">
        <v>79.650000000000006</v>
      </c>
      <c r="F12" s="270">
        <v>116.54</v>
      </c>
      <c r="G12" s="270">
        <v>130.88999999999999</v>
      </c>
      <c r="H12" s="270">
        <v>144.94</v>
      </c>
      <c r="I12" s="122">
        <f t="shared" si="0"/>
        <v>0.10734204293681726</v>
      </c>
      <c r="J12" s="270">
        <f t="shared" si="1"/>
        <v>14.050000000000011</v>
      </c>
      <c r="K12" s="271">
        <v>114.2</v>
      </c>
      <c r="L12" s="271">
        <v>122.01</v>
      </c>
      <c r="M12" s="271">
        <v>133.91</v>
      </c>
      <c r="N12" s="271">
        <v>146.09</v>
      </c>
      <c r="O12" s="271">
        <v>149.97</v>
      </c>
      <c r="P12" s="122">
        <f t="shared" si="2"/>
        <v>2.6558970497638335E-2</v>
      </c>
      <c r="Q12" s="270">
        <f t="shared" si="3"/>
        <v>3.8799999999999955</v>
      </c>
    </row>
    <row r="13" spans="2:17" x14ac:dyDescent="0.25">
      <c r="B13" s="123" t="s">
        <v>63</v>
      </c>
      <c r="C13" s="272">
        <v>106.38</v>
      </c>
      <c r="D13" s="272">
        <v>71.150000000000006</v>
      </c>
      <c r="E13" s="272">
        <v>85.14</v>
      </c>
      <c r="F13" s="272">
        <v>125.38</v>
      </c>
      <c r="G13" s="272">
        <v>140.15</v>
      </c>
      <c r="H13" s="272">
        <v>154.63999999999999</v>
      </c>
      <c r="I13" s="124">
        <f t="shared" si="0"/>
        <v>0.10338922582946819</v>
      </c>
      <c r="J13" s="272">
        <f t="shared" si="1"/>
        <v>14.489999999999981</v>
      </c>
      <c r="K13" s="273">
        <v>124.25</v>
      </c>
      <c r="L13" s="273">
        <v>132.05000000000001</v>
      </c>
      <c r="M13" s="273">
        <v>143.75</v>
      </c>
      <c r="N13" s="273">
        <v>156.46</v>
      </c>
      <c r="O13" s="273">
        <v>160.06</v>
      </c>
      <c r="P13" s="124">
        <f t="shared" si="2"/>
        <v>2.300907580212197E-2</v>
      </c>
      <c r="Q13" s="272">
        <f t="shared" si="3"/>
        <v>3.5999999999999943</v>
      </c>
    </row>
    <row r="14" spans="2:17" x14ac:dyDescent="0.25">
      <c r="B14" s="123" t="s">
        <v>64</v>
      </c>
      <c r="C14" s="272">
        <v>53.15</v>
      </c>
      <c r="D14" s="272">
        <v>31.55</v>
      </c>
      <c r="E14" s="272">
        <v>34.18</v>
      </c>
      <c r="F14" s="272">
        <v>49.88</v>
      </c>
      <c r="G14" s="272">
        <v>54.45</v>
      </c>
      <c r="H14" s="272">
        <v>55.23</v>
      </c>
      <c r="I14" s="124">
        <f t="shared" si="0"/>
        <v>1.4325068870523205E-2</v>
      </c>
      <c r="J14" s="272">
        <f t="shared" si="1"/>
        <v>0.77999999999999403</v>
      </c>
      <c r="K14" s="273">
        <v>45.41</v>
      </c>
      <c r="L14" s="273">
        <v>47.29</v>
      </c>
      <c r="M14" s="273">
        <v>49.34</v>
      </c>
      <c r="N14" s="273">
        <v>47.86</v>
      </c>
      <c r="O14" s="273">
        <v>59.1</v>
      </c>
      <c r="P14" s="124">
        <f t="shared" si="2"/>
        <v>0.23485165064772251</v>
      </c>
      <c r="Q14" s="272">
        <f t="shared" si="3"/>
        <v>11.240000000000002</v>
      </c>
    </row>
    <row r="15" spans="2:17" x14ac:dyDescent="0.25">
      <c r="B15" s="120" t="s">
        <v>65</v>
      </c>
      <c r="C15" s="270">
        <v>58.49</v>
      </c>
      <c r="D15" s="270">
        <v>40.36</v>
      </c>
      <c r="E15" s="270">
        <v>37.26</v>
      </c>
      <c r="F15" s="270">
        <v>61.52</v>
      </c>
      <c r="G15" s="270">
        <v>67.89</v>
      </c>
      <c r="H15" s="270">
        <v>72.16</v>
      </c>
      <c r="I15" s="122">
        <f t="shared" si="0"/>
        <v>6.2895860951539095E-2</v>
      </c>
      <c r="J15" s="270">
        <f t="shared" si="1"/>
        <v>4.269999999999996</v>
      </c>
      <c r="K15" s="271">
        <v>51.04</v>
      </c>
      <c r="L15" s="271">
        <v>63.09</v>
      </c>
      <c r="M15" s="271">
        <v>64.38</v>
      </c>
      <c r="N15" s="271">
        <v>72.44</v>
      </c>
      <c r="O15" s="271">
        <v>71.209999999999994</v>
      </c>
      <c r="P15" s="122">
        <f t="shared" si="2"/>
        <v>-1.6979569298730013E-2</v>
      </c>
      <c r="Q15" s="270">
        <f t="shared" si="3"/>
        <v>-1.230000000000004</v>
      </c>
    </row>
    <row r="16" spans="2:17" x14ac:dyDescent="0.25">
      <c r="B16" s="117" t="s">
        <v>51</v>
      </c>
      <c r="C16" s="274">
        <v>51.62</v>
      </c>
      <c r="D16" s="274">
        <v>49.1</v>
      </c>
      <c r="E16" s="274">
        <v>45.63</v>
      </c>
      <c r="F16" s="274">
        <v>64.64</v>
      </c>
      <c r="G16" s="274">
        <v>73.62</v>
      </c>
      <c r="H16" s="274">
        <v>81.849999999999994</v>
      </c>
      <c r="I16" s="126">
        <f t="shared" si="0"/>
        <v>0.11179027438196121</v>
      </c>
      <c r="J16" s="274">
        <f t="shared" si="1"/>
        <v>8.2299999999999898</v>
      </c>
      <c r="K16" s="275">
        <v>60.96</v>
      </c>
      <c r="L16" s="275">
        <v>68.819999999999993</v>
      </c>
      <c r="M16" s="275">
        <v>73.47</v>
      </c>
      <c r="N16" s="275">
        <v>78.17</v>
      </c>
      <c r="O16" s="275">
        <v>91.54</v>
      </c>
      <c r="P16" s="126">
        <f t="shared" si="2"/>
        <v>0.17103748241013172</v>
      </c>
      <c r="Q16" s="274">
        <f t="shared" si="3"/>
        <v>13.370000000000005</v>
      </c>
    </row>
    <row r="17" spans="2:17" x14ac:dyDescent="0.25">
      <c r="B17" s="120" t="s">
        <v>62</v>
      </c>
      <c r="C17" s="270">
        <v>51.62</v>
      </c>
      <c r="D17" s="270">
        <v>49.1</v>
      </c>
      <c r="E17" s="270">
        <v>45.63</v>
      </c>
      <c r="F17" s="270">
        <v>64.64</v>
      </c>
      <c r="G17" s="270">
        <v>73.62</v>
      </c>
      <c r="H17" s="270">
        <v>81.849999999999994</v>
      </c>
      <c r="I17" s="122">
        <f t="shared" si="0"/>
        <v>0.11179027438196121</v>
      </c>
      <c r="J17" s="270">
        <f t="shared" si="1"/>
        <v>8.2299999999999898</v>
      </c>
      <c r="K17" s="271">
        <v>60.96</v>
      </c>
      <c r="L17" s="271">
        <v>68.819999999999993</v>
      </c>
      <c r="M17" s="271">
        <v>73.47</v>
      </c>
      <c r="N17" s="271">
        <v>78.17</v>
      </c>
      <c r="O17" s="271">
        <v>91.54</v>
      </c>
      <c r="P17" s="122">
        <f t="shared" si="2"/>
        <v>0.17103748241013172</v>
      </c>
      <c r="Q17" s="270">
        <f t="shared" si="3"/>
        <v>13.370000000000005</v>
      </c>
    </row>
    <row r="18" spans="2:17" x14ac:dyDescent="0.25">
      <c r="B18" s="123" t="s">
        <v>63</v>
      </c>
      <c r="C18" s="272">
        <v>60.68</v>
      </c>
      <c r="D18" s="272">
        <v>0</v>
      </c>
      <c r="E18" s="272">
        <v>0</v>
      </c>
      <c r="F18" s="272">
        <v>67.599999999999994</v>
      </c>
      <c r="G18" s="272">
        <v>76.17</v>
      </c>
      <c r="H18" s="272">
        <v>86.23</v>
      </c>
      <c r="I18" s="124">
        <f t="shared" si="0"/>
        <v>0.13207299461730337</v>
      </c>
      <c r="J18" s="272">
        <f t="shared" si="1"/>
        <v>10.060000000000002</v>
      </c>
      <c r="K18" s="273">
        <v>0</v>
      </c>
      <c r="L18" s="273">
        <v>72.89</v>
      </c>
      <c r="M18" s="273">
        <v>76.55</v>
      </c>
      <c r="N18" s="273">
        <v>81.03</v>
      </c>
      <c r="O18" s="273">
        <v>95.26</v>
      </c>
      <c r="P18" s="124">
        <f t="shared" si="2"/>
        <v>0.17561397013451807</v>
      </c>
      <c r="Q18" s="272">
        <f t="shared" si="3"/>
        <v>14.230000000000004</v>
      </c>
    </row>
    <row r="19" spans="2:17" x14ac:dyDescent="0.25">
      <c r="B19" s="123" t="s">
        <v>64</v>
      </c>
      <c r="C19" s="272">
        <v>26.27</v>
      </c>
      <c r="D19" s="272">
        <v>0</v>
      </c>
      <c r="E19" s="272">
        <v>0</v>
      </c>
      <c r="F19" s="272">
        <v>41.21</v>
      </c>
      <c r="G19" s="272">
        <v>55.9</v>
      </c>
      <c r="H19" s="272">
        <v>54.89</v>
      </c>
      <c r="I19" s="124">
        <f t="shared" si="0"/>
        <v>-1.8067978533094831E-2</v>
      </c>
      <c r="J19" s="272">
        <f t="shared" si="1"/>
        <v>-1.009999999999998</v>
      </c>
      <c r="K19" s="273">
        <v>0</v>
      </c>
      <c r="L19" s="273">
        <v>40.79</v>
      </c>
      <c r="M19" s="273">
        <v>54.48</v>
      </c>
      <c r="N19" s="273">
        <v>60.51</v>
      </c>
      <c r="O19" s="273">
        <v>68.61</v>
      </c>
      <c r="P19" s="124">
        <f t="shared" si="2"/>
        <v>0.13386217154189395</v>
      </c>
      <c r="Q19" s="272">
        <f t="shared" si="3"/>
        <v>8.1000000000000014</v>
      </c>
    </row>
    <row r="20" spans="2:17" x14ac:dyDescent="0.25">
      <c r="B20" s="120" t="s">
        <v>65</v>
      </c>
      <c r="C20" s="270">
        <v>0</v>
      </c>
      <c r="D20" s="270">
        <v>0</v>
      </c>
      <c r="E20" s="270">
        <v>0</v>
      </c>
      <c r="F20" s="270">
        <v>0</v>
      </c>
      <c r="G20" s="270">
        <v>0</v>
      </c>
      <c r="H20" s="270">
        <v>0</v>
      </c>
      <c r="I20" s="122" t="str">
        <f t="shared" si="0"/>
        <v>-</v>
      </c>
      <c r="J20" s="270">
        <f t="shared" si="1"/>
        <v>0</v>
      </c>
      <c r="K20" s="271" t="s">
        <v>233</v>
      </c>
      <c r="L20" s="271" t="s">
        <v>233</v>
      </c>
      <c r="M20" s="271" t="s">
        <v>233</v>
      </c>
      <c r="N20" s="271" t="s">
        <v>233</v>
      </c>
      <c r="O20" s="271" t="s">
        <v>233</v>
      </c>
      <c r="P20" s="122" t="str">
        <f t="shared" si="2"/>
        <v>-</v>
      </c>
      <c r="Q20" s="270" t="str">
        <f t="shared" si="3"/>
        <v>-</v>
      </c>
    </row>
    <row r="21" spans="2:17" x14ac:dyDescent="0.25">
      <c r="B21" s="117" t="s">
        <v>48</v>
      </c>
      <c r="C21" s="274">
        <v>47.78</v>
      </c>
      <c r="D21" s="274">
        <v>38.090000000000003</v>
      </c>
      <c r="E21" s="274">
        <v>36.92</v>
      </c>
      <c r="F21" s="274">
        <v>53.92</v>
      </c>
      <c r="G21" s="274">
        <v>54.7</v>
      </c>
      <c r="H21" s="274">
        <v>64.64</v>
      </c>
      <c r="I21" s="126">
        <f t="shared" si="0"/>
        <v>0.18171846435100547</v>
      </c>
      <c r="J21" s="274">
        <f t="shared" si="1"/>
        <v>9.9399999999999977</v>
      </c>
      <c r="K21" s="275">
        <v>49.31</v>
      </c>
      <c r="L21" s="275">
        <v>55.54</v>
      </c>
      <c r="M21" s="275">
        <v>63.89</v>
      </c>
      <c r="N21" s="275">
        <v>58.95</v>
      </c>
      <c r="O21" s="275">
        <v>63.06</v>
      </c>
      <c r="P21" s="126">
        <f t="shared" si="2"/>
        <v>6.9720101781170385E-2</v>
      </c>
      <c r="Q21" s="274">
        <f t="shared" si="3"/>
        <v>4.1099999999999994</v>
      </c>
    </row>
    <row r="22" spans="2:17" x14ac:dyDescent="0.25">
      <c r="B22" s="120" t="s">
        <v>62</v>
      </c>
      <c r="C22" s="270">
        <v>47.3</v>
      </c>
      <c r="D22" s="270">
        <v>35.92</v>
      </c>
      <c r="E22" s="270">
        <v>36.92</v>
      </c>
      <c r="F22" s="270">
        <v>53.99</v>
      </c>
      <c r="G22" s="270">
        <v>54.87</v>
      </c>
      <c r="H22" s="270">
        <v>64.8</v>
      </c>
      <c r="I22" s="122">
        <f t="shared" si="0"/>
        <v>0.18097320940404593</v>
      </c>
      <c r="J22" s="270">
        <f t="shared" si="1"/>
        <v>9.93</v>
      </c>
      <c r="K22" s="271">
        <v>49.31</v>
      </c>
      <c r="L22" s="271">
        <v>55.54</v>
      </c>
      <c r="M22" s="271">
        <v>64.290000000000006</v>
      </c>
      <c r="N22" s="271">
        <v>58.89</v>
      </c>
      <c r="O22" s="271">
        <v>63.6</v>
      </c>
      <c r="P22" s="122">
        <f t="shared" si="2"/>
        <v>7.9979623025980606E-2</v>
      </c>
      <c r="Q22" s="270">
        <f t="shared" si="3"/>
        <v>4.7100000000000009</v>
      </c>
    </row>
    <row r="23" spans="2:17" x14ac:dyDescent="0.25">
      <c r="B23" s="120" t="s">
        <v>65</v>
      </c>
      <c r="C23" s="270">
        <v>51.12</v>
      </c>
      <c r="D23" s="270">
        <v>0</v>
      </c>
      <c r="E23" s="270">
        <v>0</v>
      </c>
      <c r="F23" s="270">
        <v>0</v>
      </c>
      <c r="G23" s="270">
        <v>0</v>
      </c>
      <c r="H23" s="270">
        <v>0</v>
      </c>
      <c r="I23" s="122" t="str">
        <f t="shared" si="0"/>
        <v>-</v>
      </c>
      <c r="J23" s="270">
        <f t="shared" si="1"/>
        <v>0</v>
      </c>
      <c r="K23" s="271">
        <v>0</v>
      </c>
      <c r="L23" s="271">
        <v>0</v>
      </c>
      <c r="M23" s="271">
        <v>0</v>
      </c>
      <c r="N23" s="271">
        <v>0</v>
      </c>
      <c r="O23" s="271">
        <v>0</v>
      </c>
      <c r="P23" s="122" t="str">
        <f t="shared" si="2"/>
        <v>-</v>
      </c>
      <c r="Q23" s="270">
        <f t="shared" si="3"/>
        <v>0</v>
      </c>
    </row>
    <row r="24" spans="2:17" x14ac:dyDescent="0.25">
      <c r="B24" s="117" t="s">
        <v>49</v>
      </c>
      <c r="C24" s="274">
        <v>107</v>
      </c>
      <c r="D24" s="274">
        <v>52.22</v>
      </c>
      <c r="E24" s="274">
        <v>46.13</v>
      </c>
      <c r="F24" s="274">
        <v>94.79</v>
      </c>
      <c r="G24" s="274">
        <v>114.31</v>
      </c>
      <c r="H24" s="274">
        <v>127.83</v>
      </c>
      <c r="I24" s="126">
        <f t="shared" si="0"/>
        <v>0.11827486659084951</v>
      </c>
      <c r="J24" s="274">
        <f t="shared" si="1"/>
        <v>13.519999999999996</v>
      </c>
      <c r="K24" s="275">
        <v>131.63999999999999</v>
      </c>
      <c r="L24" s="275">
        <v>68.33</v>
      </c>
      <c r="M24" s="275">
        <v>107.98</v>
      </c>
      <c r="N24" s="275">
        <v>111.7</v>
      </c>
      <c r="O24" s="275">
        <v>160.54</v>
      </c>
      <c r="P24" s="126">
        <f t="shared" si="2"/>
        <v>0.43724261414503118</v>
      </c>
      <c r="Q24" s="274">
        <f t="shared" si="3"/>
        <v>48.839999999999989</v>
      </c>
    </row>
    <row r="25" spans="2:17" x14ac:dyDescent="0.25">
      <c r="B25" s="120" t="s">
        <v>62</v>
      </c>
      <c r="C25" s="270">
        <v>107.84</v>
      </c>
      <c r="D25" s="270">
        <v>55.84</v>
      </c>
      <c r="E25" s="270">
        <v>48.11</v>
      </c>
      <c r="F25" s="270">
        <v>95.49</v>
      </c>
      <c r="G25" s="270">
        <v>114.77</v>
      </c>
      <c r="H25" s="270">
        <v>128.08000000000001</v>
      </c>
      <c r="I25" s="122">
        <f t="shared" si="0"/>
        <v>0.11597107257994255</v>
      </c>
      <c r="J25" s="270">
        <f t="shared" si="1"/>
        <v>13.310000000000016</v>
      </c>
      <c r="K25" s="271">
        <v>131.63999999999999</v>
      </c>
      <c r="L25" s="271">
        <v>64.38</v>
      </c>
      <c r="M25" s="271">
        <v>106.17</v>
      </c>
      <c r="N25" s="271">
        <v>110.9</v>
      </c>
      <c r="O25" s="271">
        <v>165.83</v>
      </c>
      <c r="P25" s="122">
        <f t="shared" si="2"/>
        <v>0.49531109107303872</v>
      </c>
      <c r="Q25" s="270">
        <f t="shared" si="3"/>
        <v>54.930000000000007</v>
      </c>
    </row>
    <row r="26" spans="2:17" x14ac:dyDescent="0.25">
      <c r="B26" s="123" t="s">
        <v>63</v>
      </c>
      <c r="C26" s="272">
        <v>117.01</v>
      </c>
      <c r="D26" s="272">
        <v>0</v>
      </c>
      <c r="E26" s="272">
        <v>0</v>
      </c>
      <c r="F26" s="272">
        <v>0</v>
      </c>
      <c r="G26" s="272">
        <v>0</v>
      </c>
      <c r="H26" s="272">
        <v>0</v>
      </c>
      <c r="I26" s="124" t="str">
        <f t="shared" si="0"/>
        <v>-</v>
      </c>
      <c r="J26" s="272">
        <f t="shared" si="1"/>
        <v>0</v>
      </c>
      <c r="K26" s="273">
        <v>131.63999999999999</v>
      </c>
      <c r="L26" s="273">
        <v>0</v>
      </c>
      <c r="M26" s="273">
        <v>106.17</v>
      </c>
      <c r="N26" s="273">
        <v>0</v>
      </c>
      <c r="O26" s="273">
        <v>0</v>
      </c>
      <c r="P26" s="124" t="str">
        <f t="shared" si="2"/>
        <v>-</v>
      </c>
      <c r="Q26" s="272">
        <f t="shared" si="3"/>
        <v>0</v>
      </c>
    </row>
    <row r="27" spans="2:17" x14ac:dyDescent="0.25">
      <c r="B27" s="123" t="s">
        <v>64</v>
      </c>
      <c r="C27" s="272">
        <v>30.06</v>
      </c>
      <c r="D27" s="272">
        <v>0</v>
      </c>
      <c r="E27" s="272">
        <v>0</v>
      </c>
      <c r="F27" s="272">
        <v>0</v>
      </c>
      <c r="G27" s="272">
        <v>0</v>
      </c>
      <c r="H27" s="272">
        <v>0</v>
      </c>
      <c r="I27" s="124" t="str">
        <f t="shared" si="0"/>
        <v>-</v>
      </c>
      <c r="J27" s="272">
        <f t="shared" si="1"/>
        <v>0</v>
      </c>
      <c r="K27" s="273">
        <v>0</v>
      </c>
      <c r="L27" s="273">
        <v>0</v>
      </c>
      <c r="M27" s="273">
        <v>0</v>
      </c>
      <c r="N27" s="273">
        <v>0</v>
      </c>
      <c r="O27" s="273">
        <v>0</v>
      </c>
      <c r="P27" s="124" t="str">
        <f t="shared" si="2"/>
        <v>-</v>
      </c>
      <c r="Q27" s="272">
        <f t="shared" si="3"/>
        <v>0</v>
      </c>
    </row>
    <row r="28" spans="2:17" x14ac:dyDescent="0.25">
      <c r="B28" s="117" t="s">
        <v>50</v>
      </c>
      <c r="C28" s="274">
        <v>41.28</v>
      </c>
      <c r="D28" s="274">
        <v>28.76</v>
      </c>
      <c r="E28" s="274">
        <v>28.24</v>
      </c>
      <c r="F28" s="274">
        <v>42.01</v>
      </c>
      <c r="G28" s="274">
        <v>51.99</v>
      </c>
      <c r="H28" s="274">
        <v>61.31</v>
      </c>
      <c r="I28" s="126">
        <f t="shared" si="0"/>
        <v>0.17926524331602223</v>
      </c>
      <c r="J28" s="274">
        <f t="shared" si="1"/>
        <v>9.32</v>
      </c>
      <c r="K28" s="275">
        <v>36.119999999999997</v>
      </c>
      <c r="L28" s="275">
        <v>43.45</v>
      </c>
      <c r="M28" s="275">
        <v>48.08</v>
      </c>
      <c r="N28" s="275">
        <v>60.91</v>
      </c>
      <c r="O28" s="275">
        <v>63.5</v>
      </c>
      <c r="P28" s="126">
        <f t="shared" si="2"/>
        <v>4.252175340666553E-2</v>
      </c>
      <c r="Q28" s="274">
        <f t="shared" si="3"/>
        <v>2.5900000000000034</v>
      </c>
    </row>
    <row r="29" spans="2:17" x14ac:dyDescent="0.25">
      <c r="B29" s="120" t="s">
        <v>62</v>
      </c>
      <c r="C29" s="270">
        <v>43.36</v>
      </c>
      <c r="D29" s="270">
        <v>30.7</v>
      </c>
      <c r="E29" s="270">
        <v>30.01</v>
      </c>
      <c r="F29" s="270">
        <v>44.97</v>
      </c>
      <c r="G29" s="270">
        <v>55.89</v>
      </c>
      <c r="H29" s="270">
        <v>65.510000000000005</v>
      </c>
      <c r="I29" s="122">
        <f t="shared" si="0"/>
        <v>0.1721238146358921</v>
      </c>
      <c r="J29" s="270">
        <f t="shared" si="1"/>
        <v>9.6200000000000045</v>
      </c>
      <c r="K29" s="271">
        <v>37.979999999999997</v>
      </c>
      <c r="L29" s="271">
        <v>47.96</v>
      </c>
      <c r="M29" s="271">
        <v>52.01</v>
      </c>
      <c r="N29" s="271">
        <v>66.08</v>
      </c>
      <c r="O29" s="271">
        <v>68.47</v>
      </c>
      <c r="P29" s="122">
        <f t="shared" si="2"/>
        <v>3.6168280871670788E-2</v>
      </c>
      <c r="Q29" s="270">
        <f t="shared" si="3"/>
        <v>2.3900000000000006</v>
      </c>
    </row>
    <row r="30" spans="2:17" x14ac:dyDescent="0.25">
      <c r="B30" s="123" t="s">
        <v>63</v>
      </c>
      <c r="C30" s="272">
        <v>46.92</v>
      </c>
      <c r="D30" s="272">
        <v>32.35</v>
      </c>
      <c r="E30" s="272">
        <v>31.51</v>
      </c>
      <c r="F30" s="272">
        <v>47.15</v>
      </c>
      <c r="G30" s="272">
        <v>58.46</v>
      </c>
      <c r="H30" s="272">
        <v>68.099999999999994</v>
      </c>
      <c r="I30" s="124">
        <f t="shared" si="0"/>
        <v>0.16489907629148126</v>
      </c>
      <c r="J30" s="272">
        <f t="shared" si="1"/>
        <v>9.6399999999999935</v>
      </c>
      <c r="K30" s="273">
        <v>40.64</v>
      </c>
      <c r="L30" s="273">
        <v>51.2</v>
      </c>
      <c r="M30" s="273">
        <v>54.94</v>
      </c>
      <c r="N30" s="273">
        <v>69.42</v>
      </c>
      <c r="O30" s="273">
        <v>72.67</v>
      </c>
      <c r="P30" s="124">
        <f t="shared" si="2"/>
        <v>4.6816479400749067E-2</v>
      </c>
      <c r="Q30" s="272">
        <f t="shared" si="3"/>
        <v>3.25</v>
      </c>
    </row>
    <row r="31" spans="2:17" x14ac:dyDescent="0.25">
      <c r="B31" s="123" t="s">
        <v>64</v>
      </c>
      <c r="C31" s="272">
        <v>28.87</v>
      </c>
      <c r="D31" s="272">
        <v>22.76</v>
      </c>
      <c r="E31" s="272">
        <v>23.58</v>
      </c>
      <c r="F31" s="272">
        <v>31.76</v>
      </c>
      <c r="G31" s="272">
        <v>39.42</v>
      </c>
      <c r="H31" s="272">
        <v>48.3</v>
      </c>
      <c r="I31" s="124">
        <f t="shared" si="0"/>
        <v>0.22526636225266339</v>
      </c>
      <c r="J31" s="272">
        <f t="shared" si="1"/>
        <v>8.8799999999999955</v>
      </c>
      <c r="K31" s="273">
        <v>26.15</v>
      </c>
      <c r="L31" s="273">
        <v>27.16</v>
      </c>
      <c r="M31" s="273">
        <v>33.26</v>
      </c>
      <c r="N31" s="273">
        <v>43.77</v>
      </c>
      <c r="O31" s="273">
        <v>41.48</v>
      </c>
      <c r="P31" s="124">
        <f t="shared" si="2"/>
        <v>-5.2318939913182705E-2</v>
      </c>
      <c r="Q31" s="272">
        <f t="shared" si="3"/>
        <v>-2.2900000000000063</v>
      </c>
    </row>
    <row r="32" spans="2:17" x14ac:dyDescent="0.25">
      <c r="B32" s="120" t="s">
        <v>65</v>
      </c>
      <c r="C32" s="270">
        <v>33.409999999999997</v>
      </c>
      <c r="D32" s="270">
        <v>23.06</v>
      </c>
      <c r="E32" s="270">
        <v>22.18</v>
      </c>
      <c r="F32" s="270">
        <v>30.16</v>
      </c>
      <c r="G32" s="270">
        <v>36.21</v>
      </c>
      <c r="H32" s="270">
        <v>43.56</v>
      </c>
      <c r="I32" s="122">
        <f t="shared" si="0"/>
        <v>0.20298260149130076</v>
      </c>
      <c r="J32" s="270">
        <f t="shared" si="1"/>
        <v>7.3500000000000014</v>
      </c>
      <c r="K32" s="271">
        <v>27.62</v>
      </c>
      <c r="L32" s="271">
        <v>26.58</v>
      </c>
      <c r="M32" s="271">
        <v>31.95</v>
      </c>
      <c r="N32" s="271">
        <v>38.92</v>
      </c>
      <c r="O32" s="271">
        <v>42.57</v>
      </c>
      <c r="P32" s="122">
        <f t="shared" si="2"/>
        <v>9.3782117163412115E-2</v>
      </c>
      <c r="Q32" s="270">
        <f t="shared" si="3"/>
        <v>3.6499999999999986</v>
      </c>
    </row>
    <row r="33" spans="2:17" x14ac:dyDescent="0.25">
      <c r="B33" s="117" t="s">
        <v>51</v>
      </c>
      <c r="C33" s="274">
        <v>51.62</v>
      </c>
      <c r="D33" s="274">
        <v>49.1</v>
      </c>
      <c r="E33" s="274">
        <v>45.63</v>
      </c>
      <c r="F33" s="274">
        <v>64.64</v>
      </c>
      <c r="G33" s="274">
        <v>73.62</v>
      </c>
      <c r="H33" s="274">
        <v>81.849999999999994</v>
      </c>
      <c r="I33" s="126">
        <f t="shared" si="0"/>
        <v>0.11179027438196121</v>
      </c>
      <c r="J33" s="274">
        <f t="shared" si="1"/>
        <v>8.2299999999999898</v>
      </c>
      <c r="K33" s="275">
        <v>60.96</v>
      </c>
      <c r="L33" s="275">
        <v>68.819999999999993</v>
      </c>
      <c r="M33" s="275">
        <v>73.47</v>
      </c>
      <c r="N33" s="275">
        <v>78.17</v>
      </c>
      <c r="O33" s="275">
        <v>91.54</v>
      </c>
      <c r="P33" s="126">
        <f t="shared" si="2"/>
        <v>0.17103748241013172</v>
      </c>
      <c r="Q33" s="274">
        <f t="shared" si="3"/>
        <v>13.370000000000005</v>
      </c>
    </row>
    <row r="34" spans="2:17" x14ac:dyDescent="0.25">
      <c r="B34" s="120" t="s">
        <v>62</v>
      </c>
      <c r="C34" s="270">
        <v>51.62</v>
      </c>
      <c r="D34" s="270">
        <v>49.1</v>
      </c>
      <c r="E34" s="270">
        <v>45.63</v>
      </c>
      <c r="F34" s="270">
        <v>64.64</v>
      </c>
      <c r="G34" s="270">
        <v>73.62</v>
      </c>
      <c r="H34" s="270">
        <v>81.849999999999994</v>
      </c>
      <c r="I34" s="122">
        <f t="shared" si="0"/>
        <v>0.11179027438196121</v>
      </c>
      <c r="J34" s="270">
        <f t="shared" si="1"/>
        <v>8.2299999999999898</v>
      </c>
      <c r="K34" s="271">
        <v>60.96</v>
      </c>
      <c r="L34" s="271">
        <v>68.819999999999993</v>
      </c>
      <c r="M34" s="271">
        <v>73.47</v>
      </c>
      <c r="N34" s="271">
        <v>78.17</v>
      </c>
      <c r="O34" s="271">
        <v>91.54</v>
      </c>
      <c r="P34" s="122">
        <f t="shared" si="2"/>
        <v>0.17103748241013172</v>
      </c>
      <c r="Q34" s="270">
        <f t="shared" si="3"/>
        <v>13.370000000000005</v>
      </c>
    </row>
    <row r="35" spans="2:17" x14ac:dyDescent="0.25">
      <c r="B35" s="117" t="s">
        <v>52</v>
      </c>
      <c r="C35" s="274">
        <v>67.78</v>
      </c>
      <c r="D35" s="274">
        <v>64.31</v>
      </c>
      <c r="E35" s="274">
        <v>82.55</v>
      </c>
      <c r="F35" s="274">
        <v>96.71</v>
      </c>
      <c r="G35" s="274">
        <v>122.12</v>
      </c>
      <c r="H35" s="274">
        <v>143.97</v>
      </c>
      <c r="I35" s="126">
        <f t="shared" si="0"/>
        <v>0.17892237143792977</v>
      </c>
      <c r="J35" s="274">
        <f t="shared" si="1"/>
        <v>21.849999999999994</v>
      </c>
      <c r="K35" s="275">
        <v>94.07</v>
      </c>
      <c r="L35" s="275">
        <v>106.99</v>
      </c>
      <c r="M35" s="275">
        <v>151.55000000000001</v>
      </c>
      <c r="N35" s="275">
        <v>147.13</v>
      </c>
      <c r="O35" s="275">
        <v>160.01</v>
      </c>
      <c r="P35" s="126">
        <f t="shared" si="2"/>
        <v>8.7541629851151992E-2</v>
      </c>
      <c r="Q35" s="274">
        <f t="shared" si="3"/>
        <v>12.879999999999995</v>
      </c>
    </row>
    <row r="36" spans="2:17" x14ac:dyDescent="0.25">
      <c r="B36" s="120" t="s">
        <v>62</v>
      </c>
      <c r="C36" s="270">
        <v>88.08</v>
      </c>
      <c r="D36" s="270">
        <v>75.77</v>
      </c>
      <c r="E36" s="270">
        <v>86.58</v>
      </c>
      <c r="F36" s="270">
        <v>103.27</v>
      </c>
      <c r="G36" s="270">
        <v>127.65</v>
      </c>
      <c r="H36" s="270">
        <v>152.83000000000001</v>
      </c>
      <c r="I36" s="122">
        <f t="shared" si="0"/>
        <v>0.1972581276929104</v>
      </c>
      <c r="J36" s="270">
        <f t="shared" si="1"/>
        <v>25.180000000000007</v>
      </c>
      <c r="K36" s="271">
        <v>102.48</v>
      </c>
      <c r="L36" s="271">
        <v>112.76</v>
      </c>
      <c r="M36" s="271">
        <v>163.47</v>
      </c>
      <c r="N36" s="271">
        <v>157.30000000000001</v>
      </c>
      <c r="O36" s="271">
        <v>170.57</v>
      </c>
      <c r="P36" s="122">
        <f t="shared" si="2"/>
        <v>8.4361093452002489E-2</v>
      </c>
      <c r="Q36" s="270">
        <f t="shared" si="3"/>
        <v>13.269999999999982</v>
      </c>
    </row>
    <row r="37" spans="2:17" x14ac:dyDescent="0.25">
      <c r="B37" s="120" t="s">
        <v>65</v>
      </c>
      <c r="C37" s="270">
        <v>45.47</v>
      </c>
      <c r="D37" s="270">
        <v>30.29</v>
      </c>
      <c r="E37" s="270">
        <v>48.86</v>
      </c>
      <c r="F37" s="270">
        <v>61.39</v>
      </c>
      <c r="G37" s="270">
        <v>90.45</v>
      </c>
      <c r="H37" s="270">
        <v>93.94</v>
      </c>
      <c r="I37" s="122">
        <f t="shared" si="0"/>
        <v>3.8584853510226669E-2</v>
      </c>
      <c r="J37" s="270">
        <f t="shared" si="1"/>
        <v>3.4899999999999949</v>
      </c>
      <c r="K37" s="271">
        <v>51.69</v>
      </c>
      <c r="L37" s="271">
        <v>74.02</v>
      </c>
      <c r="M37" s="271">
        <v>79.7</v>
      </c>
      <c r="N37" s="271">
        <v>89.65</v>
      </c>
      <c r="O37" s="271">
        <v>103.99</v>
      </c>
      <c r="P37" s="122">
        <f t="shared" si="2"/>
        <v>0.15995538204127158</v>
      </c>
      <c r="Q37" s="270">
        <f t="shared" si="3"/>
        <v>14.339999999999989</v>
      </c>
    </row>
    <row r="38" spans="2:17" x14ac:dyDescent="0.25">
      <c r="B38" s="117" t="s">
        <v>53</v>
      </c>
      <c r="C38" s="274">
        <v>43.26</v>
      </c>
      <c r="D38" s="274">
        <v>33.54</v>
      </c>
      <c r="E38" s="274">
        <v>37.840000000000003</v>
      </c>
      <c r="F38" s="274">
        <v>53.16</v>
      </c>
      <c r="G38" s="274">
        <v>62.05</v>
      </c>
      <c r="H38" s="274">
        <v>69.75</v>
      </c>
      <c r="I38" s="126">
        <f t="shared" si="0"/>
        <v>0.12409347300564066</v>
      </c>
      <c r="J38" s="274">
        <f t="shared" si="1"/>
        <v>7.7000000000000028</v>
      </c>
      <c r="K38" s="275">
        <v>48.57</v>
      </c>
      <c r="L38" s="275">
        <v>50.3</v>
      </c>
      <c r="M38" s="275">
        <v>65.09</v>
      </c>
      <c r="N38" s="275">
        <v>67.97</v>
      </c>
      <c r="O38" s="275">
        <v>82.61</v>
      </c>
      <c r="P38" s="126">
        <f t="shared" si="2"/>
        <v>0.21538914226864803</v>
      </c>
      <c r="Q38" s="274">
        <f t="shared" si="3"/>
        <v>14.64</v>
      </c>
    </row>
    <row r="39" spans="2:17" x14ac:dyDescent="0.25">
      <c r="B39" s="120" t="s">
        <v>62</v>
      </c>
      <c r="C39" s="270">
        <v>43.26</v>
      </c>
      <c r="D39" s="270">
        <v>33.54</v>
      </c>
      <c r="E39" s="270">
        <v>37.840000000000003</v>
      </c>
      <c r="F39" s="270">
        <v>53.16</v>
      </c>
      <c r="G39" s="270">
        <v>62.05</v>
      </c>
      <c r="H39" s="270">
        <v>69.75</v>
      </c>
      <c r="I39" s="122">
        <f t="shared" si="0"/>
        <v>0.12409347300564066</v>
      </c>
      <c r="J39" s="270">
        <f t="shared" si="1"/>
        <v>7.7000000000000028</v>
      </c>
      <c r="K39" s="271">
        <v>48.57</v>
      </c>
      <c r="L39" s="271">
        <v>50.3</v>
      </c>
      <c r="M39" s="271">
        <v>65.09</v>
      </c>
      <c r="N39" s="271">
        <v>67.97</v>
      </c>
      <c r="O39" s="271">
        <v>82.61</v>
      </c>
      <c r="P39" s="122">
        <f t="shared" si="2"/>
        <v>0.21538914226864803</v>
      </c>
      <c r="Q39" s="270">
        <f t="shared" si="3"/>
        <v>14.64</v>
      </c>
    </row>
    <row r="40" spans="2:17" x14ac:dyDescent="0.25">
      <c r="B40" s="123" t="s">
        <v>63</v>
      </c>
      <c r="C40" s="272">
        <v>56.68</v>
      </c>
      <c r="D40" s="272">
        <v>39.090000000000003</v>
      </c>
      <c r="E40" s="272">
        <v>40.1</v>
      </c>
      <c r="F40" s="272">
        <v>62.85</v>
      </c>
      <c r="G40" s="272">
        <v>73.61</v>
      </c>
      <c r="H40" s="272">
        <v>84.16</v>
      </c>
      <c r="I40" s="124">
        <f t="shared" si="0"/>
        <v>0.14332291808178232</v>
      </c>
      <c r="J40" s="272">
        <f t="shared" si="1"/>
        <v>10.549999999999997</v>
      </c>
      <c r="K40" s="273">
        <v>53.6</v>
      </c>
      <c r="L40" s="273">
        <v>60.86</v>
      </c>
      <c r="M40" s="273">
        <v>74.989999999999995</v>
      </c>
      <c r="N40" s="273">
        <v>79.349999999999994</v>
      </c>
      <c r="O40" s="273">
        <v>94.05</v>
      </c>
      <c r="P40" s="124">
        <f t="shared" si="2"/>
        <v>0.18525519848771266</v>
      </c>
      <c r="Q40" s="272">
        <f t="shared" si="3"/>
        <v>14.700000000000003</v>
      </c>
    </row>
    <row r="41" spans="2:17" x14ac:dyDescent="0.25">
      <c r="B41" s="123" t="s">
        <v>64</v>
      </c>
      <c r="C41" s="272">
        <v>31.7</v>
      </c>
      <c r="D41" s="272">
        <v>27.82</v>
      </c>
      <c r="E41" s="272">
        <v>34.1</v>
      </c>
      <c r="F41" s="272">
        <v>40.229999999999997</v>
      </c>
      <c r="G41" s="272">
        <v>47.48</v>
      </c>
      <c r="H41" s="272">
        <v>49.35</v>
      </c>
      <c r="I41" s="124">
        <f t="shared" si="0"/>
        <v>3.9385004212300068E-2</v>
      </c>
      <c r="J41" s="272">
        <f t="shared" si="1"/>
        <v>1.8700000000000045</v>
      </c>
      <c r="K41" s="273">
        <v>40.24</v>
      </c>
      <c r="L41" s="273">
        <v>37.82</v>
      </c>
      <c r="M41" s="273">
        <v>52.33</v>
      </c>
      <c r="N41" s="273">
        <v>47.04</v>
      </c>
      <c r="O41" s="273">
        <v>61.7</v>
      </c>
      <c r="P41" s="124">
        <f t="shared" si="2"/>
        <v>0.31164965986394577</v>
      </c>
      <c r="Q41" s="272">
        <f t="shared" si="3"/>
        <v>14.660000000000004</v>
      </c>
    </row>
    <row r="42" spans="2:17" x14ac:dyDescent="0.25">
      <c r="B42" s="117" t="s">
        <v>54</v>
      </c>
      <c r="C42" s="274">
        <v>71.48</v>
      </c>
      <c r="D42" s="274">
        <v>50.94</v>
      </c>
      <c r="E42" s="274">
        <v>53.72</v>
      </c>
      <c r="F42" s="274">
        <v>88.72</v>
      </c>
      <c r="G42" s="274">
        <v>108.87</v>
      </c>
      <c r="H42" s="274">
        <v>119.53</v>
      </c>
      <c r="I42" s="126">
        <f t="shared" si="0"/>
        <v>9.791494442913562E-2</v>
      </c>
      <c r="J42" s="274">
        <f t="shared" si="1"/>
        <v>10.659999999999997</v>
      </c>
      <c r="K42" s="275">
        <v>75.25</v>
      </c>
      <c r="L42" s="275">
        <v>88.28</v>
      </c>
      <c r="M42" s="275">
        <v>112.03</v>
      </c>
      <c r="N42" s="275">
        <v>119.51</v>
      </c>
      <c r="O42" s="275">
        <v>103.75</v>
      </c>
      <c r="P42" s="126">
        <f t="shared" si="2"/>
        <v>-0.13187180989038583</v>
      </c>
      <c r="Q42" s="274">
        <f t="shared" si="3"/>
        <v>-15.760000000000005</v>
      </c>
    </row>
    <row r="43" spans="2:17" x14ac:dyDescent="0.25">
      <c r="B43" s="120" t="s">
        <v>62</v>
      </c>
      <c r="C43" s="270">
        <v>77.83</v>
      </c>
      <c r="D43" s="270">
        <v>56.41</v>
      </c>
      <c r="E43" s="270">
        <v>62.75</v>
      </c>
      <c r="F43" s="270">
        <v>96.52</v>
      </c>
      <c r="G43" s="270">
        <v>119.31</v>
      </c>
      <c r="H43" s="270">
        <v>129.19999999999999</v>
      </c>
      <c r="I43" s="122">
        <f t="shared" si="0"/>
        <v>8.2893303159835563E-2</v>
      </c>
      <c r="J43" s="270">
        <f t="shared" si="1"/>
        <v>9.8899999999999864</v>
      </c>
      <c r="K43" s="271">
        <v>82.4</v>
      </c>
      <c r="L43" s="271">
        <v>96.93</v>
      </c>
      <c r="M43" s="271">
        <v>123.12</v>
      </c>
      <c r="N43" s="271">
        <v>131.04</v>
      </c>
      <c r="O43" s="271">
        <v>110.62</v>
      </c>
      <c r="P43" s="122">
        <f t="shared" si="2"/>
        <v>-0.15583028083028072</v>
      </c>
      <c r="Q43" s="270">
        <f t="shared" si="3"/>
        <v>-20.419999999999987</v>
      </c>
    </row>
    <row r="44" spans="2:17" x14ac:dyDescent="0.25">
      <c r="B44" s="123" t="s">
        <v>63</v>
      </c>
      <c r="C44" s="272">
        <v>81.78</v>
      </c>
      <c r="D44" s="272">
        <v>0</v>
      </c>
      <c r="E44" s="272">
        <v>65.540000000000006</v>
      </c>
      <c r="F44" s="272">
        <v>100.75</v>
      </c>
      <c r="G44" s="272">
        <v>126.98</v>
      </c>
      <c r="H44" s="272">
        <v>135.56</v>
      </c>
      <c r="I44" s="124">
        <f t="shared" si="0"/>
        <v>6.7569696015120417E-2</v>
      </c>
      <c r="J44" s="272">
        <f t="shared" si="1"/>
        <v>8.5799999999999983</v>
      </c>
      <c r="K44" s="273">
        <v>87.16</v>
      </c>
      <c r="L44" s="273">
        <v>104.71</v>
      </c>
      <c r="M44" s="273">
        <v>130.84</v>
      </c>
      <c r="N44" s="273">
        <v>138.51</v>
      </c>
      <c r="O44" s="273">
        <v>112.29</v>
      </c>
      <c r="P44" s="124">
        <f t="shared" si="2"/>
        <v>-0.18930041152263366</v>
      </c>
      <c r="Q44" s="272">
        <f t="shared" si="3"/>
        <v>-26.219999999999985</v>
      </c>
    </row>
    <row r="45" spans="2:17" x14ac:dyDescent="0.25">
      <c r="B45" s="123" t="s">
        <v>64</v>
      </c>
      <c r="C45" s="272">
        <v>62.86</v>
      </c>
      <c r="D45" s="272">
        <v>0</v>
      </c>
      <c r="E45" s="272">
        <v>51.57</v>
      </c>
      <c r="F45" s="272">
        <v>79.3</v>
      </c>
      <c r="G45" s="272">
        <v>88.65</v>
      </c>
      <c r="H45" s="272">
        <v>103.35</v>
      </c>
      <c r="I45" s="124">
        <f t="shared" si="0"/>
        <v>0.16582064297800314</v>
      </c>
      <c r="J45" s="272">
        <f t="shared" si="1"/>
        <v>14.699999999999989</v>
      </c>
      <c r="K45" s="273">
        <v>63.05</v>
      </c>
      <c r="L45" s="273">
        <v>65.34</v>
      </c>
      <c r="M45" s="273">
        <v>91.74</v>
      </c>
      <c r="N45" s="273">
        <v>100.66</v>
      </c>
      <c r="O45" s="273">
        <v>103.85</v>
      </c>
      <c r="P45" s="124">
        <f t="shared" si="2"/>
        <v>3.1690840453010072E-2</v>
      </c>
      <c r="Q45" s="272">
        <f t="shared" si="3"/>
        <v>3.1899999999999977</v>
      </c>
    </row>
    <row r="46" spans="2:17" x14ac:dyDescent="0.25">
      <c r="B46" s="120" t="s">
        <v>65</v>
      </c>
      <c r="C46" s="270">
        <v>50.93</v>
      </c>
      <c r="D46" s="270">
        <v>31.82</v>
      </c>
      <c r="E46" s="270">
        <v>24.11</v>
      </c>
      <c r="F46" s="270">
        <v>48.07</v>
      </c>
      <c r="G46" s="270">
        <v>55.12</v>
      </c>
      <c r="H46" s="270">
        <v>69.489999999999995</v>
      </c>
      <c r="I46" s="122">
        <f t="shared" si="0"/>
        <v>0.26070391872278664</v>
      </c>
      <c r="J46" s="270">
        <f t="shared" si="1"/>
        <v>14.369999999999997</v>
      </c>
      <c r="K46" s="271">
        <v>37.97</v>
      </c>
      <c r="L46" s="271">
        <v>43.15</v>
      </c>
      <c r="M46" s="271">
        <v>54.19</v>
      </c>
      <c r="N46" s="271">
        <v>59.43</v>
      </c>
      <c r="O46" s="271">
        <v>69.37</v>
      </c>
      <c r="P46" s="122">
        <f t="shared" si="2"/>
        <v>0.16725559481743235</v>
      </c>
      <c r="Q46" s="270">
        <f t="shared" si="3"/>
        <v>9.9400000000000048</v>
      </c>
    </row>
    <row r="47" spans="2:17" x14ac:dyDescent="0.25">
      <c r="B47" s="117" t="s">
        <v>55</v>
      </c>
      <c r="C47" s="274">
        <v>39.85</v>
      </c>
      <c r="D47" s="274">
        <v>22.7</v>
      </c>
      <c r="E47" s="274">
        <v>29.35</v>
      </c>
      <c r="F47" s="274">
        <v>43.18</v>
      </c>
      <c r="G47" s="274">
        <v>54</v>
      </c>
      <c r="H47" s="274">
        <v>56.57</v>
      </c>
      <c r="I47" s="126">
        <f t="shared" si="0"/>
        <v>4.7592592592592631E-2</v>
      </c>
      <c r="J47" s="274">
        <f t="shared" si="1"/>
        <v>2.5700000000000003</v>
      </c>
      <c r="K47" s="275">
        <v>38.57</v>
      </c>
      <c r="L47" s="275">
        <v>39.69</v>
      </c>
      <c r="M47" s="275">
        <v>49.04</v>
      </c>
      <c r="N47" s="275">
        <v>50.64</v>
      </c>
      <c r="O47" s="275">
        <v>49.19</v>
      </c>
      <c r="P47" s="126">
        <f t="shared" si="2"/>
        <v>-2.8633491311216508E-2</v>
      </c>
      <c r="Q47" s="274">
        <f t="shared" si="3"/>
        <v>-1.4500000000000028</v>
      </c>
    </row>
    <row r="48" spans="2:17" x14ac:dyDescent="0.25">
      <c r="B48" s="120" t="s">
        <v>62</v>
      </c>
      <c r="C48" s="270">
        <v>40.090000000000003</v>
      </c>
      <c r="D48" s="270">
        <v>22.26</v>
      </c>
      <c r="E48" s="270">
        <v>29.29</v>
      </c>
      <c r="F48" s="270">
        <v>43.74</v>
      </c>
      <c r="G48" s="270">
        <v>54.6</v>
      </c>
      <c r="H48" s="270">
        <v>58.13</v>
      </c>
      <c r="I48" s="122">
        <f t="shared" si="0"/>
        <v>6.4652014652014644E-2</v>
      </c>
      <c r="J48" s="270">
        <f t="shared" si="1"/>
        <v>3.5300000000000011</v>
      </c>
      <c r="K48" s="271">
        <v>38.65</v>
      </c>
      <c r="L48" s="271">
        <v>40.21</v>
      </c>
      <c r="M48" s="271">
        <v>50.22</v>
      </c>
      <c r="N48" s="271">
        <v>51.84</v>
      </c>
      <c r="O48" s="271">
        <v>50.73</v>
      </c>
      <c r="P48" s="122">
        <f t="shared" si="2"/>
        <v>-2.1412037037037202E-2</v>
      </c>
      <c r="Q48" s="270">
        <f t="shared" si="3"/>
        <v>-1.1100000000000065</v>
      </c>
    </row>
    <row r="49" spans="2:17" x14ac:dyDescent="0.25">
      <c r="B49" s="123" t="s">
        <v>63</v>
      </c>
      <c r="C49" s="272">
        <v>43.4</v>
      </c>
      <c r="D49" s="272">
        <v>22.57</v>
      </c>
      <c r="E49" s="272">
        <v>31.13</v>
      </c>
      <c r="F49" s="272">
        <v>47.77</v>
      </c>
      <c r="G49" s="272">
        <v>59.8</v>
      </c>
      <c r="H49" s="272">
        <v>61.8</v>
      </c>
      <c r="I49" s="124">
        <f t="shared" si="0"/>
        <v>3.3444816053511683E-2</v>
      </c>
      <c r="J49" s="272">
        <f t="shared" si="1"/>
        <v>2</v>
      </c>
      <c r="K49" s="273">
        <v>44.93</v>
      </c>
      <c r="L49" s="273">
        <v>44.61</v>
      </c>
      <c r="M49" s="273">
        <v>56</v>
      </c>
      <c r="N49" s="273">
        <v>55.39</v>
      </c>
      <c r="O49" s="273">
        <v>55.22</v>
      </c>
      <c r="P49" s="124">
        <f t="shared" si="2"/>
        <v>-3.0691460552446648E-3</v>
      </c>
      <c r="Q49" s="272">
        <f t="shared" si="3"/>
        <v>-0.17000000000000171</v>
      </c>
    </row>
    <row r="50" spans="2:17" x14ac:dyDescent="0.25">
      <c r="B50" s="123" t="s">
        <v>64</v>
      </c>
      <c r="C50" s="272">
        <v>28.7</v>
      </c>
      <c r="D50" s="272">
        <v>21.23</v>
      </c>
      <c r="E50" s="272">
        <v>23.12</v>
      </c>
      <c r="F50" s="272">
        <v>33.61</v>
      </c>
      <c r="G50" s="272">
        <v>39.770000000000003</v>
      </c>
      <c r="H50" s="272">
        <v>48.41</v>
      </c>
      <c r="I50" s="124">
        <f t="shared" si="0"/>
        <v>0.21724918280110628</v>
      </c>
      <c r="J50" s="272">
        <f t="shared" si="1"/>
        <v>8.6399999999999935</v>
      </c>
      <c r="K50" s="273">
        <v>19.600000000000001</v>
      </c>
      <c r="L50" s="273">
        <v>30.13</v>
      </c>
      <c r="M50" s="273">
        <v>34.450000000000003</v>
      </c>
      <c r="N50" s="273">
        <v>42.62</v>
      </c>
      <c r="O50" s="273">
        <v>39.090000000000003</v>
      </c>
      <c r="P50" s="124">
        <f t="shared" si="2"/>
        <v>-8.2824964805255585E-2</v>
      </c>
      <c r="Q50" s="272">
        <f t="shared" si="3"/>
        <v>-3.529999999999994</v>
      </c>
    </row>
    <row r="51" spans="2:17" x14ac:dyDescent="0.25">
      <c r="B51" s="120" t="s">
        <v>65</v>
      </c>
      <c r="C51" s="270">
        <v>35.76</v>
      </c>
      <c r="D51" s="270">
        <v>16.5</v>
      </c>
      <c r="E51" s="270">
        <v>23.32</v>
      </c>
      <c r="F51" s="270">
        <v>71.760000000000005</v>
      </c>
      <c r="G51" s="270">
        <v>82.76</v>
      </c>
      <c r="H51" s="270">
        <v>68.41</v>
      </c>
      <c r="I51" s="122">
        <f t="shared" si="0"/>
        <v>-0.17339294345094258</v>
      </c>
      <c r="J51" s="270">
        <f t="shared" si="1"/>
        <v>-14.350000000000009</v>
      </c>
      <c r="K51" s="271">
        <v>36.299999999999997</v>
      </c>
      <c r="L51" s="271">
        <v>87.62</v>
      </c>
      <c r="M51" s="271">
        <v>83.17</v>
      </c>
      <c r="N51" s="271">
        <v>81.709999999999994</v>
      </c>
      <c r="O51" s="271">
        <v>72.83</v>
      </c>
      <c r="P51" s="122">
        <f t="shared" si="2"/>
        <v>-0.10867702851548156</v>
      </c>
      <c r="Q51" s="270">
        <f t="shared" si="3"/>
        <v>-8.8799999999999955</v>
      </c>
    </row>
    <row r="52" spans="2:17" ht="6.95" customHeight="1" x14ac:dyDescent="0.25">
      <c r="B52" s="127"/>
      <c r="C52" s="128"/>
      <c r="D52" s="128"/>
      <c r="E52" s="128"/>
      <c r="F52" s="128"/>
      <c r="G52" s="129"/>
      <c r="H52" s="128"/>
      <c r="I52" s="130"/>
      <c r="J52" s="128"/>
      <c r="K52" s="128"/>
      <c r="L52" s="128"/>
      <c r="M52" s="128"/>
      <c r="N52" s="128"/>
      <c r="O52" s="130"/>
      <c r="P52" s="130"/>
      <c r="Q52" s="130"/>
    </row>
    <row r="53" spans="2:17" ht="15" customHeight="1" x14ac:dyDescent="0.25">
      <c r="B53" s="131" t="s">
        <v>57</v>
      </c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08C5-80C2-4C7C-9FA0-3E40D0E1C193}">
  <sheetPr>
    <tabColor theme="4"/>
  </sheetPr>
  <dimension ref="B4:B25"/>
  <sheetViews>
    <sheetView showGridLines="0" workbookViewId="0">
      <selection activeCell="D5" sqref="D5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165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5E12E-2135-433A-8357-F124A6F24827}">
  <sheetPr>
    <tabColor theme="4" tint="0.39997558519241921"/>
  </sheetPr>
  <dimension ref="A1:AE131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7.7109375" customWidth="1"/>
    <col min="2" max="2" width="28.7109375" customWidth="1"/>
    <col min="3" max="4" width="14.28515625" customWidth="1"/>
    <col min="5" max="12" width="14.7109375" customWidth="1"/>
    <col min="13" max="13" width="11.42578125" customWidth="1"/>
    <col min="14" max="14" width="14.7109375" customWidth="1"/>
    <col min="20" max="20" width="12.42578125" customWidth="1"/>
    <col min="27" max="27" width="14" customWidth="1"/>
    <col min="31" max="31" width="11.42578125" style="1"/>
  </cols>
  <sheetData>
    <row r="1" spans="1:31" ht="30" customHeight="1" x14ac:dyDescent="0.25">
      <c r="B1" s="1" t="s">
        <v>313</v>
      </c>
      <c r="C1" s="1"/>
      <c r="D1" s="1"/>
      <c r="F1" s="276"/>
      <c r="G1" s="276"/>
      <c r="H1" s="276"/>
      <c r="J1" s="276"/>
    </row>
    <row r="3" spans="1:31" s="4" customFormat="1" ht="25.5" customHeight="1" thickBot="1" x14ac:dyDescent="0.3">
      <c r="B3" s="85" t="s">
        <v>314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05" t="s">
        <v>265</v>
      </c>
      <c r="D5" s="205" t="s">
        <v>266</v>
      </c>
      <c r="E5" s="205" t="s">
        <v>267</v>
      </c>
      <c r="F5" s="205" t="s">
        <v>268</v>
      </c>
      <c r="G5" s="206" t="str">
        <f>CONCATENATE("var. ",RIGHT(F5,2),"/",RIGHT(E5,2))</f>
        <v>var. 23/22</v>
      </c>
      <c r="H5" s="206" t="str">
        <f>CONCATENATE("dif. ",RIGHT(F5,2),"/",RIGHT(E5,2))</f>
        <v>dif. 23/22</v>
      </c>
      <c r="I5" s="206" t="str">
        <f>CONCATENATE("%/s total España ",RIGHT(F5,4))</f>
        <v>%/s total España 2023</v>
      </c>
      <c r="J5" s="205" t="s">
        <v>269</v>
      </c>
      <c r="K5" s="206" t="str">
        <f>CONCATENATE("var. ",RIGHT(J5,2),"/",RIGHT(F5,2))</f>
        <v>var. 24/23</v>
      </c>
      <c r="L5" s="206" t="str">
        <f>CONCATENATE("dif. ",RIGHT(J5,2),"/",RIGHT(F5,2))</f>
        <v>dif. 24/23</v>
      </c>
      <c r="M5" s="206" t="str">
        <f>CONCATENATE("%/s total España ",RIGHT(J5,4))</f>
        <v>%/s total España 2024</v>
      </c>
      <c r="N5" s="205" t="s">
        <v>270</v>
      </c>
      <c r="O5" s="206" t="str">
        <f>CONCATENATE("var. ",RIGHT(N5,2),"/",RIGHT(J5,2))</f>
        <v>var. 25/24</v>
      </c>
      <c r="P5" s="206" t="str">
        <f>CONCATENATE("dif. ",RIGHT(N5,2),"/",RIGHT(J5,2))</f>
        <v>dif. 25/24</v>
      </c>
      <c r="Q5" s="206" t="str">
        <f>CONCATENATE("var. ",RIGHT(N5,2),"/",RIGHT(C5,2))</f>
        <v>var. 25/20</v>
      </c>
      <c r="R5" s="206" t="str">
        <f>CONCATENATE("dif. ",RIGHT(N5,2),"/",RIGHT(C5,2))</f>
        <v>dif. 25/20</v>
      </c>
      <c r="S5" s="206" t="str">
        <f>CONCATENATE("%/s total España ",RIGHT(N5,4))</f>
        <v>%/s total España 2025</v>
      </c>
      <c r="T5" s="206" t="str">
        <f>CONCATENATE("%/s total Turistas ",RIGHT(N5,4))</f>
        <v>%/s total Turistas 2025</v>
      </c>
      <c r="AE5" s="1"/>
    </row>
    <row r="6" spans="1:31" s="4" customFormat="1" ht="18.75" x14ac:dyDescent="0.3">
      <c r="B6" s="277" t="s">
        <v>177</v>
      </c>
      <c r="C6" s="278">
        <v>19059</v>
      </c>
      <c r="D6" s="278">
        <v>24453</v>
      </c>
      <c r="E6" s="278">
        <v>41481</v>
      </c>
      <c r="F6" s="278">
        <v>48608</v>
      </c>
      <c r="G6" s="279">
        <f t="shared" ref="G6:G11" si="0">F6/E6-1</f>
        <v>0.1718136014078735</v>
      </c>
      <c r="H6" s="278">
        <f t="shared" ref="H6:H11" si="1">F6-E6</f>
        <v>7127</v>
      </c>
      <c r="I6" s="279"/>
      <c r="J6" s="278">
        <v>46696</v>
      </c>
      <c r="K6" s="279">
        <f t="shared" ref="K6:K11" si="2">J6/F6-1</f>
        <v>-3.9335088874259405E-2</v>
      </c>
      <c r="L6" s="278">
        <f t="shared" ref="L6:L11" si="3">J6-F6</f>
        <v>-1912</v>
      </c>
      <c r="M6" s="279"/>
      <c r="N6" s="278">
        <v>46403</v>
      </c>
      <c r="O6" s="279">
        <f t="shared" ref="O6:O11" si="4">N6/J6-1</f>
        <v>-6.2746273770772909E-3</v>
      </c>
      <c r="P6" s="278">
        <f t="shared" ref="P6:P11" si="5">N6-J6</f>
        <v>-293</v>
      </c>
      <c r="Q6" s="279">
        <f>N6/C6-1</f>
        <v>1.4347027650978541</v>
      </c>
      <c r="R6" s="278">
        <f>N6-C6</f>
        <v>27344</v>
      </c>
      <c r="S6" s="279"/>
      <c r="T6" s="279"/>
      <c r="V6" s="37"/>
      <c r="AE6" s="1"/>
    </row>
    <row r="7" spans="1:31" ht="18.75" x14ac:dyDescent="0.3">
      <c r="A7" s="4"/>
      <c r="B7" s="277" t="s">
        <v>178</v>
      </c>
      <c r="C7" s="278">
        <v>12382</v>
      </c>
      <c r="D7" s="278">
        <v>16085</v>
      </c>
      <c r="E7" s="278">
        <v>27294</v>
      </c>
      <c r="F7" s="278">
        <v>32685</v>
      </c>
      <c r="G7" s="279">
        <f t="shared" si="0"/>
        <v>0.19751593756869634</v>
      </c>
      <c r="H7" s="278">
        <f t="shared" si="1"/>
        <v>5391</v>
      </c>
      <c r="I7" s="279">
        <f>F7/$F$7</f>
        <v>1</v>
      </c>
      <c r="J7" s="278">
        <v>29315</v>
      </c>
      <c r="K7" s="279">
        <f t="shared" si="2"/>
        <v>-0.1031054000305951</v>
      </c>
      <c r="L7" s="278">
        <f t="shared" si="3"/>
        <v>-3370</v>
      </c>
      <c r="M7" s="279">
        <f>J7/$J$7</f>
        <v>1</v>
      </c>
      <c r="N7" s="278">
        <v>29490</v>
      </c>
      <c r="O7" s="279">
        <f t="shared" si="4"/>
        <v>5.969640115981667E-3</v>
      </c>
      <c r="P7" s="278">
        <f t="shared" si="5"/>
        <v>175</v>
      </c>
      <c r="Q7" s="279">
        <f t="shared" ref="Q7:Q11" si="6">N7/C7-1</f>
        <v>1.3816830883540625</v>
      </c>
      <c r="R7" s="278">
        <f t="shared" ref="R7:R11" si="7">N7-C7</f>
        <v>17108</v>
      </c>
      <c r="S7" s="279">
        <f>N7/$N$7</f>
        <v>1</v>
      </c>
      <c r="T7" s="279">
        <f>N7/$N$6</f>
        <v>0.63551925522056762</v>
      </c>
      <c r="V7" s="37"/>
      <c r="W7" s="103"/>
      <c r="AE7" s="1" t="s">
        <v>179</v>
      </c>
    </row>
    <row r="8" spans="1:31" ht="15.75" x14ac:dyDescent="0.25">
      <c r="A8" s="4"/>
      <c r="B8" s="280" t="s">
        <v>102</v>
      </c>
      <c r="C8" s="281">
        <v>5893</v>
      </c>
      <c r="D8" s="281">
        <v>7874</v>
      </c>
      <c r="E8" s="281">
        <v>14379</v>
      </c>
      <c r="F8" s="281">
        <v>22489</v>
      </c>
      <c r="G8" s="282">
        <f t="shared" si="0"/>
        <v>0.56401696919118161</v>
      </c>
      <c r="H8" s="281">
        <f t="shared" si="1"/>
        <v>8110</v>
      </c>
      <c r="I8" s="282">
        <f>F8/$F$7</f>
        <v>0.68805262352761209</v>
      </c>
      <c r="J8" s="281">
        <v>20148</v>
      </c>
      <c r="K8" s="282">
        <f t="shared" si="2"/>
        <v>-0.10409533549735428</v>
      </c>
      <c r="L8" s="281">
        <f t="shared" si="3"/>
        <v>-2341</v>
      </c>
      <c r="M8" s="282">
        <f>J8/$J$7</f>
        <v>0.68729319461026783</v>
      </c>
      <c r="N8" s="281">
        <v>18580</v>
      </c>
      <c r="O8" s="282">
        <f t="shared" si="4"/>
        <v>-7.7824101647806287E-2</v>
      </c>
      <c r="P8" s="281">
        <f t="shared" si="5"/>
        <v>-1568</v>
      </c>
      <c r="Q8" s="282">
        <f t="shared" si="6"/>
        <v>2.1528932631936195</v>
      </c>
      <c r="R8" s="281">
        <f t="shared" si="7"/>
        <v>12687</v>
      </c>
      <c r="S8" s="282">
        <f>N8/$N$7</f>
        <v>0.63004408273991186</v>
      </c>
      <c r="T8" s="282">
        <f>N8/$N$6</f>
        <v>0.40040514621899448</v>
      </c>
      <c r="V8" s="37"/>
      <c r="W8" s="103"/>
      <c r="AE8" s="1" t="s">
        <v>180</v>
      </c>
    </row>
    <row r="9" spans="1:31" s="4" customFormat="1" x14ac:dyDescent="0.25">
      <c r="B9" s="283" t="s">
        <v>105</v>
      </c>
      <c r="C9" s="284">
        <v>6489</v>
      </c>
      <c r="D9" s="284">
        <v>8211</v>
      </c>
      <c r="E9" s="284">
        <v>12915</v>
      </c>
      <c r="F9" s="284">
        <v>10196</v>
      </c>
      <c r="G9" s="285">
        <f t="shared" si="0"/>
        <v>-0.21053039101819593</v>
      </c>
      <c r="H9" s="286">
        <f t="shared" si="1"/>
        <v>-2719</v>
      </c>
      <c r="I9" s="287">
        <f>F9/$F$7</f>
        <v>0.31194737647238796</v>
      </c>
      <c r="J9" s="284">
        <v>9167</v>
      </c>
      <c r="K9" s="285">
        <f t="shared" si="2"/>
        <v>-0.10092193016869355</v>
      </c>
      <c r="L9" s="286">
        <f t="shared" si="3"/>
        <v>-1029</v>
      </c>
      <c r="M9" s="287">
        <f>J9/$J$7</f>
        <v>0.31270680538973222</v>
      </c>
      <c r="N9" s="284">
        <v>10910</v>
      </c>
      <c r="O9" s="285">
        <f t="shared" si="4"/>
        <v>0.19013854041671219</v>
      </c>
      <c r="P9" s="286">
        <f t="shared" si="5"/>
        <v>1743</v>
      </c>
      <c r="Q9" s="285">
        <f t="shared" si="6"/>
        <v>0.68130682693789479</v>
      </c>
      <c r="R9" s="286">
        <f t="shared" si="7"/>
        <v>4421</v>
      </c>
      <c r="S9" s="287">
        <f>N9/$N$7</f>
        <v>0.36995591726008814</v>
      </c>
      <c r="T9" s="287">
        <f>N9/$N$6</f>
        <v>0.23511410900157317</v>
      </c>
      <c r="V9" s="37"/>
      <c r="W9" s="103"/>
      <c r="AE9" s="1" t="s">
        <v>181</v>
      </c>
    </row>
    <row r="10" spans="1:31" s="4" customFormat="1" x14ac:dyDescent="0.25">
      <c r="B10" s="288" t="s">
        <v>182</v>
      </c>
      <c r="C10" s="37">
        <v>523</v>
      </c>
      <c r="D10" s="37">
        <v>91</v>
      </c>
      <c r="E10" s="37">
        <v>1603</v>
      </c>
      <c r="F10" s="37">
        <v>1764</v>
      </c>
      <c r="G10" s="27">
        <f t="shared" si="0"/>
        <v>0.10043668122270732</v>
      </c>
      <c r="H10" s="25">
        <f t="shared" si="1"/>
        <v>161</v>
      </c>
      <c r="I10" s="39">
        <f>F10/$F$7</f>
        <v>5.3969710876548872E-2</v>
      </c>
      <c r="J10" s="37">
        <v>1474</v>
      </c>
      <c r="K10" s="27">
        <f t="shared" si="2"/>
        <v>-0.16439909297052158</v>
      </c>
      <c r="L10" s="25">
        <f t="shared" si="3"/>
        <v>-290</v>
      </c>
      <c r="M10" s="39">
        <f>J10/$J$7</f>
        <v>5.0281425891181987E-2</v>
      </c>
      <c r="N10" s="37">
        <v>1205</v>
      </c>
      <c r="O10" s="27">
        <f t="shared" si="4"/>
        <v>-0.1824966078697422</v>
      </c>
      <c r="P10" s="25">
        <f t="shared" si="5"/>
        <v>-269</v>
      </c>
      <c r="Q10" s="27">
        <f t="shared" si="6"/>
        <v>1.3040152963671128</v>
      </c>
      <c r="R10" s="25">
        <f t="shared" si="7"/>
        <v>682</v>
      </c>
      <c r="S10" s="39">
        <f>N10/$N$7</f>
        <v>4.0861308918277384E-2</v>
      </c>
      <c r="T10" s="39">
        <f>N10/$N$6</f>
        <v>2.5968148611081179E-2</v>
      </c>
      <c r="V10" s="37"/>
      <c r="W10" s="103"/>
      <c r="AE10" s="1" t="s">
        <v>183</v>
      </c>
    </row>
    <row r="11" spans="1:31" s="4" customFormat="1" x14ac:dyDescent="0.25">
      <c r="B11" s="288" t="s">
        <v>184</v>
      </c>
      <c r="C11" s="37">
        <f>C9-C10</f>
        <v>5966</v>
      </c>
      <c r="D11" s="37">
        <f>D9-D10</f>
        <v>8120</v>
      </c>
      <c r="E11" s="37">
        <f>E9-E10</f>
        <v>11312</v>
      </c>
      <c r="F11" s="37">
        <f>F9-F10</f>
        <v>8432</v>
      </c>
      <c r="G11" s="27">
        <f t="shared" si="0"/>
        <v>-0.25459688826025462</v>
      </c>
      <c r="H11" s="25">
        <f t="shared" si="1"/>
        <v>-2880</v>
      </c>
      <c r="I11" s="39">
        <f>F11/$F$7</f>
        <v>0.25797766559583907</v>
      </c>
      <c r="J11" s="37">
        <f>J9-J10</f>
        <v>7693</v>
      </c>
      <c r="K11" s="27">
        <f t="shared" si="2"/>
        <v>-8.7642314990512338E-2</v>
      </c>
      <c r="L11" s="25">
        <f t="shared" si="3"/>
        <v>-739</v>
      </c>
      <c r="M11" s="39">
        <f>J11/$J$7</f>
        <v>0.26242537949855022</v>
      </c>
      <c r="N11" s="37">
        <f>N9-N10</f>
        <v>9705</v>
      </c>
      <c r="O11" s="27">
        <f t="shared" si="4"/>
        <v>0.26153646171844525</v>
      </c>
      <c r="P11" s="25">
        <f t="shared" si="5"/>
        <v>2012</v>
      </c>
      <c r="Q11" s="27">
        <f t="shared" si="6"/>
        <v>0.62671806905799521</v>
      </c>
      <c r="R11" s="25">
        <f t="shared" si="7"/>
        <v>3739</v>
      </c>
      <c r="S11" s="39">
        <f>N11/$N$7</f>
        <v>0.32909460834181076</v>
      </c>
      <c r="T11" s="39">
        <f>N11/$N$6</f>
        <v>0.20914596039049199</v>
      </c>
      <c r="V11" s="37"/>
      <c r="W11" s="103"/>
      <c r="AE11" s="1" t="s">
        <v>185</v>
      </c>
    </row>
    <row r="12" spans="1:31" s="4" customFormat="1" ht="7.5" customHeight="1" x14ac:dyDescent="0.25"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AE12" s="1" t="s">
        <v>186</v>
      </c>
    </row>
    <row r="13" spans="1:31" s="4" customFormat="1" x14ac:dyDescent="0.25">
      <c r="B13" s="202" t="s">
        <v>187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AE13" s="1" t="s">
        <v>188</v>
      </c>
    </row>
    <row r="14" spans="1:31" s="4" customFormat="1" x14ac:dyDescent="0.25">
      <c r="AE14" s="1"/>
    </row>
    <row r="37" spans="2:31" s="4" customFormat="1" ht="15.75" hidden="1" customHeight="1" thickBot="1" x14ac:dyDescent="0.3">
      <c r="B37" s="12" t="s">
        <v>189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07"/>
      <c r="T37" s="107"/>
      <c r="AE37" s="1"/>
    </row>
    <row r="38" spans="2:31" s="4" customFormat="1" ht="6" hidden="1" customHeight="1" thickBot="1" x14ac:dyDescent="0.3">
      <c r="AE38" s="1"/>
    </row>
    <row r="39" spans="2:31" s="4" customFormat="1" ht="30" hidden="1" x14ac:dyDescent="0.25">
      <c r="E39" s="112"/>
      <c r="F39" s="112"/>
      <c r="G39" s="112"/>
      <c r="H39" s="112"/>
      <c r="I39" s="112"/>
      <c r="J39" s="15">
        <v>2020</v>
      </c>
      <c r="K39" s="15"/>
      <c r="L39" s="15"/>
      <c r="M39" s="15" t="s">
        <v>190</v>
      </c>
      <c r="N39" s="15">
        <v>2021</v>
      </c>
      <c r="O39" s="15" t="s">
        <v>190</v>
      </c>
      <c r="P39" s="15" t="s">
        <v>191</v>
      </c>
      <c r="Q39" s="15" t="s">
        <v>192</v>
      </c>
      <c r="R39" s="15" t="s">
        <v>193</v>
      </c>
      <c r="S39" s="112"/>
      <c r="T39" s="112"/>
      <c r="AE39" s="1"/>
    </row>
    <row r="40" spans="2:31" s="4" customFormat="1" ht="18.75" hidden="1" x14ac:dyDescent="0.3">
      <c r="B40" s="277" t="s">
        <v>177</v>
      </c>
      <c r="C40" s="277"/>
      <c r="D40" s="277"/>
      <c r="E40" s="278"/>
      <c r="F40" s="278"/>
      <c r="G40" s="278"/>
      <c r="H40" s="278"/>
      <c r="I40" s="278"/>
      <c r="J40" s="278">
        <v>1824653</v>
      </c>
      <c r="K40" s="278"/>
      <c r="L40" s="278"/>
      <c r="M40" s="279"/>
      <c r="N40" s="278">
        <v>2354005</v>
      </c>
      <c r="O40" s="279"/>
      <c r="P40" s="279">
        <v>1</v>
      </c>
      <c r="Q40" s="279">
        <v>0.2901110512519367</v>
      </c>
      <c r="R40" s="278">
        <v>529352</v>
      </c>
      <c r="S40" s="290"/>
      <c r="T40" s="290"/>
      <c r="AE40" s="1"/>
    </row>
    <row r="41" spans="2:31" ht="18.75" hidden="1" x14ac:dyDescent="0.3">
      <c r="B41" s="277" t="s">
        <v>178</v>
      </c>
      <c r="C41" s="277"/>
      <c r="D41" s="277"/>
      <c r="E41" s="278"/>
      <c r="F41" s="278"/>
      <c r="G41" s="278"/>
      <c r="H41" s="278"/>
      <c r="I41" s="278"/>
      <c r="J41" s="278">
        <v>603938</v>
      </c>
      <c r="K41" s="278"/>
      <c r="L41" s="278"/>
      <c r="M41" s="279">
        <v>1</v>
      </c>
      <c r="N41" s="278">
        <v>936181</v>
      </c>
      <c r="O41" s="279">
        <v>1</v>
      </c>
      <c r="P41" s="279">
        <v>0.39769711619134201</v>
      </c>
      <c r="Q41" s="279">
        <v>0.55012766211101138</v>
      </c>
      <c r="R41" s="278">
        <v>332243</v>
      </c>
      <c r="S41" s="290"/>
      <c r="T41" s="290"/>
      <c r="AE41" s="1" t="s">
        <v>179</v>
      </c>
    </row>
    <row r="42" spans="2:31" ht="15.75" hidden="1" x14ac:dyDescent="0.25">
      <c r="B42" s="280" t="s">
        <v>102</v>
      </c>
      <c r="C42" s="280"/>
      <c r="D42" s="280"/>
      <c r="E42" s="281"/>
      <c r="F42" s="281"/>
      <c r="G42" s="281"/>
      <c r="H42" s="281"/>
      <c r="I42" s="281"/>
      <c r="J42" s="281">
        <v>276550.36166633503</v>
      </c>
      <c r="K42" s="281"/>
      <c r="L42" s="281"/>
      <c r="M42" s="282">
        <v>0.45791184139155844</v>
      </c>
      <c r="N42" s="281">
        <v>430252.45635520399</v>
      </c>
      <c r="O42" s="282">
        <v>0.4595825554622493</v>
      </c>
      <c r="P42" s="282">
        <v>0.18277465695918402</v>
      </c>
      <c r="Q42" s="282">
        <v>0.55578337978930015</v>
      </c>
      <c r="R42" s="281">
        <v>153702.09468886897</v>
      </c>
      <c r="S42" s="291"/>
      <c r="T42" s="291"/>
      <c r="AE42" s="1" t="s">
        <v>180</v>
      </c>
    </row>
    <row r="43" spans="2:31" s="4" customFormat="1" hidden="1" x14ac:dyDescent="0.25">
      <c r="B43" s="283" t="s">
        <v>105</v>
      </c>
      <c r="C43" s="292"/>
      <c r="D43" s="292"/>
      <c r="E43" s="284"/>
      <c r="F43" s="284"/>
      <c r="G43" s="284"/>
      <c r="H43" s="284"/>
      <c r="I43" s="284"/>
      <c r="J43" s="284">
        <v>327387.63833385095</v>
      </c>
      <c r="K43" s="284"/>
      <c r="L43" s="284"/>
      <c r="M43" s="287">
        <v>0.54208815860874948</v>
      </c>
      <c r="N43" s="284">
        <v>505927.5436448183</v>
      </c>
      <c r="O43" s="287">
        <v>0.54041637636826456</v>
      </c>
      <c r="P43" s="287">
        <v>0.21492203442423372</v>
      </c>
      <c r="Q43" s="285">
        <v>0.54534711884540576</v>
      </c>
      <c r="R43" s="286">
        <v>178539.90531096736</v>
      </c>
      <c r="S43" s="293"/>
      <c r="T43" s="293"/>
      <c r="AE43" s="1" t="s">
        <v>181</v>
      </c>
    </row>
    <row r="44" spans="2:31" s="4" customFormat="1" hidden="1" x14ac:dyDescent="0.25">
      <c r="B44" s="288" t="s">
        <v>182</v>
      </c>
      <c r="C44" s="288"/>
      <c r="D44" s="288"/>
      <c r="E44" s="37"/>
      <c r="F44" s="37"/>
      <c r="G44" s="37"/>
      <c r="H44" s="37"/>
      <c r="I44" s="37"/>
      <c r="J44" s="37">
        <v>242109.12821622068</v>
      </c>
      <c r="K44" s="37"/>
      <c r="L44" s="37"/>
      <c r="M44" s="39">
        <v>0.4008840778626625</v>
      </c>
      <c r="N44" s="37">
        <v>391384.01224089495</v>
      </c>
      <c r="O44" s="39">
        <v>0.41806446855992052</v>
      </c>
      <c r="P44" s="39">
        <v>0.16626303352834634</v>
      </c>
      <c r="Q44" s="27">
        <v>0.61656033014732592</v>
      </c>
      <c r="R44" s="25">
        <v>149274.88402467428</v>
      </c>
      <c r="S44" s="25"/>
      <c r="T44" s="25"/>
      <c r="AE44" s="1" t="s">
        <v>183</v>
      </c>
    </row>
    <row r="45" spans="2:31" s="4" customFormat="1" hidden="1" x14ac:dyDescent="0.25">
      <c r="B45" s="288" t="s">
        <v>184</v>
      </c>
      <c r="C45" s="288"/>
      <c r="D45" s="288"/>
      <c r="E45" s="37"/>
      <c r="F45" s="37"/>
      <c r="G45" s="37"/>
      <c r="H45" s="37"/>
      <c r="I45" s="37"/>
      <c r="J45" s="37">
        <v>85278.510117630256</v>
      </c>
      <c r="K45" s="37"/>
      <c r="L45" s="37"/>
      <c r="M45" s="39">
        <v>0.14120408074608695</v>
      </c>
      <c r="N45" s="37">
        <v>114543.53140392336</v>
      </c>
      <c r="O45" s="39">
        <v>0.12235190780834407</v>
      </c>
      <c r="P45" s="39">
        <v>4.8659000895887379E-2</v>
      </c>
      <c r="Q45" s="27">
        <v>0.34316994100771625</v>
      </c>
      <c r="R45" s="25">
        <v>29265.021286293108</v>
      </c>
      <c r="S45" s="25"/>
      <c r="T45" s="25"/>
      <c r="AE45" s="1" t="s">
        <v>185</v>
      </c>
    </row>
    <row r="46" spans="2:31" s="4" customFormat="1" ht="7.5" hidden="1" customHeight="1" x14ac:dyDescent="0.25">
      <c r="B46" s="289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AE46" s="1" t="s">
        <v>186</v>
      </c>
    </row>
    <row r="47" spans="2:31" s="4" customFormat="1" hidden="1" x14ac:dyDescent="0.25">
      <c r="B47" s="66" t="s">
        <v>187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294"/>
      <c r="T47" s="294"/>
      <c r="AE47" s="1" t="s">
        <v>188</v>
      </c>
    </row>
    <row r="48" spans="2:31" s="4" customFormat="1" hidden="1" x14ac:dyDescent="0.25">
      <c r="AE48" s="1"/>
    </row>
    <row r="49" spans="5:12" hidden="1" x14ac:dyDescent="0.25">
      <c r="E49" s="153"/>
      <c r="F49" s="153"/>
      <c r="G49" s="153"/>
      <c r="H49" s="153"/>
      <c r="I49" s="153"/>
      <c r="J49" s="153">
        <v>0.54208815860874948</v>
      </c>
      <c r="K49" s="153"/>
      <c r="L49" s="153"/>
    </row>
    <row r="50" spans="5:12" hidden="1" x14ac:dyDescent="0.25"/>
    <row r="51" spans="5:12" hidden="1" x14ac:dyDescent="0.25"/>
    <row r="52" spans="5:12" hidden="1" x14ac:dyDescent="0.25"/>
    <row r="53" spans="5:12" hidden="1" x14ac:dyDescent="0.25"/>
    <row r="54" spans="5:12" hidden="1" x14ac:dyDescent="0.25"/>
    <row r="55" spans="5:12" hidden="1" x14ac:dyDescent="0.25"/>
    <row r="56" spans="5:12" hidden="1" x14ac:dyDescent="0.25"/>
    <row r="57" spans="5:12" hidden="1" x14ac:dyDescent="0.25"/>
    <row r="58" spans="5:12" hidden="1" x14ac:dyDescent="0.25"/>
    <row r="59" spans="5:12" hidden="1" x14ac:dyDescent="0.25"/>
    <row r="60" spans="5:12" hidden="1" x14ac:dyDescent="0.25"/>
    <row r="61" spans="5:12" hidden="1" x14ac:dyDescent="0.25"/>
    <row r="62" spans="5:12" hidden="1" x14ac:dyDescent="0.25"/>
    <row r="63" spans="5:12" hidden="1" x14ac:dyDescent="0.25"/>
    <row r="64" spans="5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31" hidden="1" x14ac:dyDescent="0.25"/>
    <row r="114" spans="2:31" hidden="1" x14ac:dyDescent="0.25"/>
    <row r="115" spans="2:31" hidden="1" x14ac:dyDescent="0.25"/>
    <row r="116" spans="2:31" hidden="1" x14ac:dyDescent="0.25"/>
    <row r="120" spans="2:31" x14ac:dyDescent="0.25">
      <c r="Z120" s="1"/>
      <c r="AE120"/>
    </row>
    <row r="121" spans="2:31" ht="21.75" thickBot="1" x14ac:dyDescent="0.3">
      <c r="B121" s="85" t="s">
        <v>314</v>
      </c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Z121" s="1"/>
      <c r="AE121"/>
    </row>
    <row r="122" spans="2:3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Z122" s="1"/>
      <c r="AE122"/>
    </row>
    <row r="123" spans="2:31" ht="30" x14ac:dyDescent="0.25">
      <c r="B123" s="4"/>
      <c r="C123" s="218">
        <v>2020</v>
      </c>
      <c r="D123" s="218">
        <v>2021</v>
      </c>
      <c r="E123" s="218">
        <v>2022</v>
      </c>
      <c r="F123" s="218">
        <v>2023</v>
      </c>
      <c r="G123" s="206" t="str">
        <f>CONCATENATE("var. ",RIGHT(F123,2),"/",RIGHT(E123,2))</f>
        <v>var. 23/22</v>
      </c>
      <c r="H123" s="206" t="str">
        <f>CONCATENATE("dif. ",RIGHT(F123,2),"/",RIGHT(E123,2))</f>
        <v>dif. 23/22</v>
      </c>
      <c r="I123" s="206" t="str">
        <f>CONCATENATE("%/s total España ",RIGHT(F123,4))</f>
        <v>%/s total España 2023</v>
      </c>
      <c r="J123" s="218">
        <v>2024</v>
      </c>
      <c r="K123" s="206" t="str">
        <f>CONCATENATE("%/s total España ",RIGHT(J123,4))</f>
        <v>%/s total España 2024</v>
      </c>
      <c r="L123" s="206" t="str">
        <f>CONCATENATE("var. ",RIGHT(J123,2),"/",RIGHT(F123,2))</f>
        <v>var. 24/23</v>
      </c>
      <c r="M123" s="206" t="str">
        <f>CONCATENATE("dif. ",RIGHT(J123,2),"/",RIGHT(F123,2))</f>
        <v>dif. 24/23</v>
      </c>
      <c r="N123" s="206" t="str">
        <f>CONCATENATE("var. ",RIGHT(J123,2),"/",RIGHT(D123,2))</f>
        <v>var. 24/21</v>
      </c>
      <c r="O123" s="206" t="str">
        <f>CONCATENATE("dif. ",RIGHT(J123,2),"/",RIGHT(D123,2))</f>
        <v>dif. 24/21</v>
      </c>
      <c r="Z123" s="1"/>
      <c r="AE123"/>
    </row>
    <row r="124" spans="2:31" ht="18.75" x14ac:dyDescent="0.3">
      <c r="B124" s="277" t="s">
        <v>177</v>
      </c>
      <c r="C124" s="278">
        <v>24221</v>
      </c>
      <c r="D124" s="278">
        <v>33444</v>
      </c>
      <c r="E124" s="278">
        <v>51485</v>
      </c>
      <c r="F124" s="278">
        <v>58157</v>
      </c>
      <c r="G124" s="279">
        <f t="shared" ref="G124:G129" si="8">F124/E124-1</f>
        <v>0.12959114305137409</v>
      </c>
      <c r="H124" s="278">
        <f t="shared" ref="H124:H129" si="9">F124-E124</f>
        <v>6672</v>
      </c>
      <c r="I124" s="279"/>
      <c r="J124" s="278">
        <v>57388</v>
      </c>
      <c r="K124" s="279"/>
      <c r="L124" s="279">
        <f t="shared" ref="L124:L129" si="10">J124/F124-1</f>
        <v>-1.3222827862510056E-2</v>
      </c>
      <c r="M124" s="278">
        <f t="shared" ref="M124:M129" si="11">J124-F124</f>
        <v>-769</v>
      </c>
      <c r="N124" s="279">
        <f t="shared" ref="N124:N129" si="12">J124/D124-1</f>
        <v>0.71594306901088389</v>
      </c>
      <c r="O124" s="278">
        <f t="shared" ref="O124:O129" si="13">J124-D124</f>
        <v>23944</v>
      </c>
      <c r="Z124" s="1"/>
      <c r="AE124"/>
    </row>
    <row r="125" spans="2:31" ht="18.75" x14ac:dyDescent="0.3">
      <c r="B125" s="277" t="s">
        <v>178</v>
      </c>
      <c r="C125" s="278">
        <v>16023</v>
      </c>
      <c r="D125" s="278">
        <v>21732</v>
      </c>
      <c r="E125" s="278">
        <v>33809</v>
      </c>
      <c r="F125" s="278">
        <v>37722</v>
      </c>
      <c r="G125" s="279">
        <f t="shared" si="8"/>
        <v>0.11573841284864983</v>
      </c>
      <c r="H125" s="278">
        <f t="shared" si="9"/>
        <v>3913</v>
      </c>
      <c r="I125" s="279">
        <f>F125/$F$7</f>
        <v>1.1541073887104176</v>
      </c>
      <c r="J125" s="278">
        <v>35821</v>
      </c>
      <c r="K125" s="279">
        <f>J125/$J$125</f>
        <v>1</v>
      </c>
      <c r="L125" s="279">
        <f t="shared" si="10"/>
        <v>-5.0394994963151474E-2</v>
      </c>
      <c r="M125" s="278">
        <f t="shared" si="11"/>
        <v>-1901</v>
      </c>
      <c r="N125" s="279">
        <f t="shared" si="12"/>
        <v>0.64830664457942211</v>
      </c>
      <c r="O125" s="278">
        <f t="shared" si="13"/>
        <v>14089</v>
      </c>
      <c r="Z125" s="1"/>
      <c r="AE125"/>
    </row>
    <row r="126" spans="2:31" ht="15.75" x14ac:dyDescent="0.25">
      <c r="B126" s="280" t="s">
        <v>102</v>
      </c>
      <c r="C126" s="281">
        <v>7339</v>
      </c>
      <c r="D126" s="281">
        <v>10731</v>
      </c>
      <c r="E126" s="281">
        <v>17520</v>
      </c>
      <c r="F126" s="281">
        <v>25698</v>
      </c>
      <c r="G126" s="282">
        <f t="shared" si="8"/>
        <v>0.46678082191780823</v>
      </c>
      <c r="H126" s="281">
        <f t="shared" si="9"/>
        <v>8178</v>
      </c>
      <c r="I126" s="282">
        <f>F126/$F$7</f>
        <v>0.78623221661312526</v>
      </c>
      <c r="J126" s="281">
        <v>23944</v>
      </c>
      <c r="K126" s="282">
        <f>J126/$J$125</f>
        <v>0.66843471706540858</v>
      </c>
      <c r="L126" s="282">
        <f t="shared" si="10"/>
        <v>-6.8254338859055186E-2</v>
      </c>
      <c r="M126" s="281">
        <f t="shared" si="11"/>
        <v>-1754</v>
      </c>
      <c r="N126" s="282">
        <f t="shared" si="12"/>
        <v>1.2312925170068025</v>
      </c>
      <c r="O126" s="281">
        <f t="shared" si="13"/>
        <v>13213</v>
      </c>
      <c r="Z126" s="1"/>
      <c r="AE126"/>
    </row>
    <row r="127" spans="2:31" x14ac:dyDescent="0.25">
      <c r="B127" s="283" t="s">
        <v>105</v>
      </c>
      <c r="C127" s="284">
        <v>8684</v>
      </c>
      <c r="D127" s="284">
        <v>11001</v>
      </c>
      <c r="E127" s="284">
        <v>16289</v>
      </c>
      <c r="F127" s="284">
        <v>12024</v>
      </c>
      <c r="G127" s="285">
        <f t="shared" si="8"/>
        <v>-0.261833138928111</v>
      </c>
      <c r="H127" s="286">
        <f t="shared" si="9"/>
        <v>-4265</v>
      </c>
      <c r="I127" s="287">
        <f>F127/$F$7</f>
        <v>0.36787517209729231</v>
      </c>
      <c r="J127" s="284">
        <v>11877</v>
      </c>
      <c r="K127" s="287">
        <f>J127/$J$125</f>
        <v>0.33156528293459142</v>
      </c>
      <c r="L127" s="285">
        <f t="shared" si="10"/>
        <v>-1.2225548902195627E-2</v>
      </c>
      <c r="M127" s="286">
        <f t="shared" si="11"/>
        <v>-147</v>
      </c>
      <c r="N127" s="285">
        <f t="shared" si="12"/>
        <v>7.962912462503402E-2</v>
      </c>
      <c r="O127" s="286">
        <f t="shared" si="13"/>
        <v>876</v>
      </c>
      <c r="Z127" s="1"/>
      <c r="AE127"/>
    </row>
    <row r="128" spans="2:31" x14ac:dyDescent="0.25">
      <c r="B128" s="288" t="s">
        <v>182</v>
      </c>
      <c r="C128" s="37">
        <v>753</v>
      </c>
      <c r="D128" s="37">
        <v>159</v>
      </c>
      <c r="E128" s="37">
        <v>1782</v>
      </c>
      <c r="F128" s="37">
        <v>2664</v>
      </c>
      <c r="G128" s="27">
        <f t="shared" si="8"/>
        <v>0.49494949494949503</v>
      </c>
      <c r="H128" s="25">
        <f t="shared" si="9"/>
        <v>882</v>
      </c>
      <c r="I128" s="39">
        <f>F128/$F$7</f>
        <v>8.1505277650298302E-2</v>
      </c>
      <c r="J128" s="37">
        <v>1991</v>
      </c>
      <c r="K128" s="39">
        <f>J128/$J$125</f>
        <v>5.5581921219396445E-2</v>
      </c>
      <c r="L128" s="27">
        <f t="shared" si="10"/>
        <v>-0.25262762762762758</v>
      </c>
      <c r="M128" s="25">
        <f t="shared" si="11"/>
        <v>-673</v>
      </c>
      <c r="N128" s="27">
        <f t="shared" si="12"/>
        <v>11.522012578616351</v>
      </c>
      <c r="O128" s="25">
        <f t="shared" si="13"/>
        <v>1832</v>
      </c>
      <c r="Z128" s="1"/>
      <c r="AE128"/>
    </row>
    <row r="129" spans="2:31" x14ac:dyDescent="0.25">
      <c r="B129" s="288" t="s">
        <v>184</v>
      </c>
      <c r="C129" s="37">
        <f>C127-C128</f>
        <v>7931</v>
      </c>
      <c r="D129" s="37">
        <f>D127-D128</f>
        <v>10842</v>
      </c>
      <c r="E129" s="37">
        <f>E127-E128</f>
        <v>14507</v>
      </c>
      <c r="F129" s="37">
        <f>F127-F128</f>
        <v>9360</v>
      </c>
      <c r="G129" s="27">
        <f t="shared" si="8"/>
        <v>-0.35479423726476877</v>
      </c>
      <c r="H129" s="25">
        <f t="shared" si="9"/>
        <v>-5147</v>
      </c>
      <c r="I129" s="39">
        <f>F129/$F$7</f>
        <v>0.28636989444699401</v>
      </c>
      <c r="J129" s="37">
        <f>J127-J128</f>
        <v>9886</v>
      </c>
      <c r="K129" s="39">
        <f>J129/$J$125</f>
        <v>0.275983361715195</v>
      </c>
      <c r="L129" s="27">
        <f t="shared" si="10"/>
        <v>5.6196581196581219E-2</v>
      </c>
      <c r="M129" s="25">
        <f t="shared" si="11"/>
        <v>526</v>
      </c>
      <c r="N129" s="27">
        <f t="shared" si="12"/>
        <v>-8.8175613355469418E-2</v>
      </c>
      <c r="O129" s="25">
        <f t="shared" si="13"/>
        <v>-956</v>
      </c>
      <c r="Z129" s="1"/>
      <c r="AE129"/>
    </row>
    <row r="130" spans="2:31" x14ac:dyDescent="0.25">
      <c r="B130" s="289"/>
      <c r="C130" s="289"/>
      <c r="D130" s="289"/>
      <c r="E130" s="289"/>
      <c r="F130" s="289"/>
      <c r="G130" s="289"/>
      <c r="H130" s="289"/>
      <c r="I130" s="289"/>
      <c r="J130" s="289"/>
      <c r="K130" s="289"/>
      <c r="L130" s="289"/>
      <c r="M130" s="289"/>
      <c r="N130" s="289"/>
      <c r="O130" s="289"/>
      <c r="Z130" s="1"/>
      <c r="AE130"/>
    </row>
    <row r="131" spans="2:31" x14ac:dyDescent="0.25">
      <c r="B131" s="202" t="s">
        <v>187</v>
      </c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Z131" s="1"/>
      <c r="AE131"/>
    </row>
  </sheetData>
  <mergeCells count="2">
    <mergeCell ref="B37:R37"/>
    <mergeCell ref="B47:R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21702-0852-44A7-80B4-671D0A446A04}">
  <sheetPr>
    <tabColor rgb="FF336600"/>
  </sheetPr>
  <dimension ref="A3:A23"/>
  <sheetViews>
    <sheetView showGridLines="0" workbookViewId="0">
      <selection activeCell="D5" sqref="D5"/>
    </sheetView>
  </sheetViews>
  <sheetFormatPr baseColWidth="10" defaultRowHeight="15" x14ac:dyDescent="0.25"/>
  <sheetData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EF691-A140-4822-9DFD-0CDCC85CA120}">
  <sheetPr>
    <tabColor theme="4" tint="0.39997558519241921"/>
  </sheetPr>
  <dimension ref="A1:AE142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194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195</v>
      </c>
      <c r="C6" s="297">
        <v>12382</v>
      </c>
      <c r="D6" s="297">
        <v>16085</v>
      </c>
      <c r="E6" s="297">
        <v>27294</v>
      </c>
      <c r="F6" s="298">
        <f>E6/$E$6</f>
        <v>1</v>
      </c>
      <c r="G6" s="297">
        <v>32685</v>
      </c>
      <c r="H6" s="298">
        <f>G6/E6-1</f>
        <v>0.19751593756869634</v>
      </c>
      <c r="I6" s="297">
        <f>G6-E6</f>
        <v>5391</v>
      </c>
      <c r="J6" s="298">
        <f>G6/$G$6</f>
        <v>1</v>
      </c>
      <c r="K6" s="297">
        <v>29315</v>
      </c>
      <c r="L6" s="298">
        <f t="shared" ref="L6:L12" si="0">K6/G6-1</f>
        <v>-0.1031054000305951</v>
      </c>
      <c r="M6" s="297">
        <f t="shared" ref="M6:M12" si="1">K6-G6</f>
        <v>-3370</v>
      </c>
      <c r="N6" s="298">
        <f>K6/$K$6</f>
        <v>1</v>
      </c>
      <c r="O6" s="297">
        <v>29490</v>
      </c>
      <c r="P6" s="298">
        <f t="shared" ref="P6:P11" si="2">O6/K6-1</f>
        <v>5.969640115981667E-3</v>
      </c>
      <c r="Q6" s="297">
        <f t="shared" ref="Q6:Q12" si="3">O6-K6</f>
        <v>175</v>
      </c>
      <c r="R6" s="298">
        <f>O6/C6-1</f>
        <v>1.3816830883540625</v>
      </c>
      <c r="S6" s="297">
        <f>O6-C6</f>
        <v>17108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99" t="s">
        <v>196</v>
      </c>
      <c r="C7" s="300">
        <v>12382</v>
      </c>
      <c r="D7" s="300">
        <v>16085</v>
      </c>
      <c r="E7" s="300">
        <v>27294</v>
      </c>
      <c r="F7" s="301">
        <f t="shared" ref="F7:F12" si="4">E7/$E$6</f>
        <v>1</v>
      </c>
      <c r="G7" s="300">
        <v>32685</v>
      </c>
      <c r="H7" s="302">
        <f>G7/E7-1</f>
        <v>0.19751593756869634</v>
      </c>
      <c r="I7" s="303">
        <f>G7-E7</f>
        <v>5391</v>
      </c>
      <c r="J7" s="301">
        <f>G7/$G$6</f>
        <v>1</v>
      </c>
      <c r="K7" s="300">
        <v>29315</v>
      </c>
      <c r="L7" s="304">
        <f t="shared" si="0"/>
        <v>-0.1031054000305951</v>
      </c>
      <c r="M7" s="305">
        <f t="shared" si="1"/>
        <v>-3370</v>
      </c>
      <c r="N7" s="301">
        <f>K7/$K$6</f>
        <v>1</v>
      </c>
      <c r="O7" s="300">
        <v>29490</v>
      </c>
      <c r="P7" s="302">
        <f t="shared" si="2"/>
        <v>5.969640115981667E-3</v>
      </c>
      <c r="Q7" s="303">
        <f t="shared" si="3"/>
        <v>175</v>
      </c>
      <c r="R7" s="302">
        <f t="shared" ref="R7:R10" si="5">O7/C7-1</f>
        <v>1.3816830883540625</v>
      </c>
      <c r="S7" s="303">
        <f t="shared" ref="S7:S10" si="6">O7-C7</f>
        <v>17108</v>
      </c>
      <c r="T7" s="301">
        <f>O7/$O$6</f>
        <v>1</v>
      </c>
      <c r="V7" s="37"/>
      <c r="W7" s="103"/>
      <c r="AE7" s="1" t="s">
        <v>181</v>
      </c>
    </row>
    <row r="8" spans="1:31" s="4" customFormat="1" x14ac:dyDescent="0.25">
      <c r="B8" s="123" t="s">
        <v>64</v>
      </c>
      <c r="C8" s="306">
        <v>2731</v>
      </c>
      <c r="D8" s="306">
        <v>0</v>
      </c>
      <c r="E8" s="306">
        <v>2663</v>
      </c>
      <c r="F8" s="307">
        <f t="shared" si="4"/>
        <v>9.7567230893236614E-2</v>
      </c>
      <c r="G8" s="306">
        <v>3564</v>
      </c>
      <c r="H8" s="308">
        <f>IFERROR(G8/E8-1,"-")</f>
        <v>0.33834021779947432</v>
      </c>
      <c r="I8" s="309">
        <f t="shared" ref="I8:I12" si="7">G8-E8</f>
        <v>901</v>
      </c>
      <c r="J8" s="307">
        <f t="shared" ref="J8:J12" si="8">G8/$G$6</f>
        <v>0.10904084442404773</v>
      </c>
      <c r="K8" s="306">
        <v>4493</v>
      </c>
      <c r="L8" s="310">
        <f>IFERROR(K8/G8-1,"-")</f>
        <v>0.260662177328844</v>
      </c>
      <c r="M8" s="311">
        <f>IF(G8=0,"nd",K8-G8)</f>
        <v>929</v>
      </c>
      <c r="N8" s="312">
        <f t="shared" ref="N8:N12" si="9">K8/$K$6</f>
        <v>0.15326624594917279</v>
      </c>
      <c r="O8" s="306">
        <v>4917</v>
      </c>
      <c r="P8" s="310">
        <f>IFERROR(O8/K8-1,"-")</f>
        <v>9.4369018473180466E-2</v>
      </c>
      <c r="Q8" s="313">
        <f t="shared" si="3"/>
        <v>424</v>
      </c>
      <c r="R8" s="310">
        <f>IFERROR(O8/C8-1,"-")</f>
        <v>0.80043939948736731</v>
      </c>
      <c r="S8" s="313">
        <f t="shared" si="6"/>
        <v>2186</v>
      </c>
      <c r="T8" s="312">
        <f t="shared" ref="T8:T12" si="10">O8/$O$6</f>
        <v>0.16673448626653103</v>
      </c>
      <c r="V8" s="37"/>
      <c r="W8" s="103"/>
      <c r="AE8" s="1"/>
    </row>
    <row r="9" spans="1:31" s="4" customFormat="1" x14ac:dyDescent="0.25">
      <c r="B9" s="123" t="s">
        <v>63</v>
      </c>
      <c r="C9" s="306">
        <v>4723</v>
      </c>
      <c r="D9" s="306">
        <v>0</v>
      </c>
      <c r="E9" s="306">
        <v>17928</v>
      </c>
      <c r="F9" s="312">
        <f t="shared" si="4"/>
        <v>0.65684765882611562</v>
      </c>
      <c r="G9" s="306">
        <v>22563</v>
      </c>
      <c r="H9" s="308">
        <f>IFERROR(G9/E9-1,"-")</f>
        <v>0.25853413654618485</v>
      </c>
      <c r="I9" s="313">
        <f t="shared" si="7"/>
        <v>4635</v>
      </c>
      <c r="J9" s="312">
        <f t="shared" si="8"/>
        <v>0.69031665901789807</v>
      </c>
      <c r="K9" s="306">
        <v>24822</v>
      </c>
      <c r="L9" s="310">
        <f>IFERROR(K9/G9-1,"-")</f>
        <v>0.10011966493817304</v>
      </c>
      <c r="M9" s="311">
        <f>IF(G9=0,"nd",K9-G9)</f>
        <v>2259</v>
      </c>
      <c r="N9" s="312">
        <f t="shared" si="9"/>
        <v>0.84673375405082718</v>
      </c>
      <c r="O9" s="306">
        <v>24573</v>
      </c>
      <c r="P9" s="310">
        <f t="shared" si="2"/>
        <v>-1.0031423737007494E-2</v>
      </c>
      <c r="Q9" s="313">
        <f t="shared" si="3"/>
        <v>-249</v>
      </c>
      <c r="R9" s="314">
        <f t="shared" si="5"/>
        <v>4.2028371797586281</v>
      </c>
      <c r="S9" s="313">
        <f t="shared" si="6"/>
        <v>19850</v>
      </c>
      <c r="T9" s="312">
        <f t="shared" si="10"/>
        <v>0.83326551373346902</v>
      </c>
      <c r="V9" s="37"/>
      <c r="W9" s="103"/>
      <c r="AE9" s="1"/>
    </row>
    <row r="10" spans="1:31" s="4" customFormat="1" x14ac:dyDescent="0.25">
      <c r="B10" s="299" t="s">
        <v>197</v>
      </c>
      <c r="C10" s="315" t="e">
        <v>#REF!</v>
      </c>
      <c r="D10" s="315" t="e">
        <v>#REF!</v>
      </c>
      <c r="E10" s="315" t="e">
        <v>#REF!</v>
      </c>
      <c r="F10" s="316" t="str">
        <f>IFERROR(E10/$E$6,"-")</f>
        <v>-</v>
      </c>
      <c r="G10" s="315" t="e">
        <v>#REF!</v>
      </c>
      <c r="H10" s="304" t="str">
        <f>IFERROR(G10/E10-1,"-")</f>
        <v>-</v>
      </c>
      <c r="I10" s="305" t="str">
        <f>IFERROR(G10-E10,"-")</f>
        <v>-</v>
      </c>
      <c r="J10" s="316" t="str">
        <f>IFERROR(G10/$G$6,"-")</f>
        <v>-</v>
      </c>
      <c r="K10" s="315" t="e">
        <v>#REF!</v>
      </c>
      <c r="L10" s="304" t="str">
        <f>IFERROR(K10/G10-1,"-")</f>
        <v>-</v>
      </c>
      <c r="M10" s="305" t="str">
        <f>IFERROR(K10-G10,"-")</f>
        <v>-</v>
      </c>
      <c r="N10" s="316" t="str">
        <f>IFERROR(K10/$K$6,"-")</f>
        <v>-</v>
      </c>
      <c r="O10" s="315" t="e">
        <v>#REF!</v>
      </c>
      <c r="P10" s="304" t="str">
        <f>IFERROR(O10/K10-1,"-")</f>
        <v>-</v>
      </c>
      <c r="Q10" s="305" t="str">
        <f>IFERROR(O10-K10,"-")</f>
        <v>-</v>
      </c>
      <c r="R10" s="304" t="e">
        <f t="shared" si="5"/>
        <v>#REF!</v>
      </c>
      <c r="S10" s="305" t="e">
        <f t="shared" si="6"/>
        <v>#REF!</v>
      </c>
      <c r="T10" s="316" t="str">
        <f>IFERROR(O10/$O$6,"-")</f>
        <v>-</v>
      </c>
      <c r="V10" s="37"/>
      <c r="W10" s="103"/>
      <c r="AE10" s="1"/>
    </row>
    <row r="11" spans="1:31" s="4" customFormat="1" hidden="1" x14ac:dyDescent="0.25">
      <c r="B11" s="123" t="s">
        <v>64</v>
      </c>
      <c r="C11" s="306" t="e">
        <v>#REF!</v>
      </c>
      <c r="D11" s="306" t="e">
        <v>#REF!</v>
      </c>
      <c r="E11" s="306" t="e">
        <v>#REF!</v>
      </c>
      <c r="F11" s="312" t="e">
        <f t="shared" si="4"/>
        <v>#REF!</v>
      </c>
      <c r="G11" s="306" t="e">
        <v>#REF!</v>
      </c>
      <c r="H11" s="314" t="e">
        <f t="shared" ref="H11:H12" si="11">G11/E11-1</f>
        <v>#REF!</v>
      </c>
      <c r="I11" s="313" t="e">
        <f t="shared" si="7"/>
        <v>#REF!</v>
      </c>
      <c r="J11" s="312" t="e">
        <f t="shared" si="8"/>
        <v>#REF!</v>
      </c>
      <c r="K11" s="306" t="e">
        <v>#REF!</v>
      </c>
      <c r="L11" s="310" t="e">
        <f>K11/G11-1</f>
        <v>#REF!</v>
      </c>
      <c r="M11" s="313" t="e">
        <f t="shared" si="1"/>
        <v>#REF!</v>
      </c>
      <c r="N11" s="312" t="e">
        <f t="shared" si="9"/>
        <v>#REF!</v>
      </c>
      <c r="O11" s="306" t="e">
        <v>#REF!</v>
      </c>
      <c r="P11" s="314" t="e">
        <f t="shared" si="2"/>
        <v>#REF!</v>
      </c>
      <c r="Q11" s="313" t="e">
        <f t="shared" si="3"/>
        <v>#REF!</v>
      </c>
      <c r="R11" s="314" t="e">
        <f t="shared" ref="R11:R12" si="12">O11/D11-1</f>
        <v>#REF!</v>
      </c>
      <c r="S11" s="313" t="e">
        <f t="shared" ref="S11:S12" si="13">O11-D11</f>
        <v>#REF!</v>
      </c>
      <c r="T11" s="312" t="e">
        <f t="shared" si="10"/>
        <v>#REF!</v>
      </c>
      <c r="V11" s="37"/>
      <c r="W11" s="103"/>
      <c r="AE11" s="1"/>
    </row>
    <row r="12" spans="1:31" s="4" customFormat="1" hidden="1" x14ac:dyDescent="0.25">
      <c r="B12" s="123" t="s">
        <v>63</v>
      </c>
      <c r="C12" s="306" t="e">
        <v>#REF!</v>
      </c>
      <c r="D12" s="306" t="e">
        <v>#REF!</v>
      </c>
      <c r="E12" s="306" t="e">
        <v>#REF!</v>
      </c>
      <c r="F12" s="312" t="e">
        <f t="shared" si="4"/>
        <v>#REF!</v>
      </c>
      <c r="G12" s="306" t="e">
        <v>#REF!</v>
      </c>
      <c r="H12" s="314" t="e">
        <f t="shared" si="11"/>
        <v>#REF!</v>
      </c>
      <c r="I12" s="313" t="e">
        <f t="shared" si="7"/>
        <v>#REF!</v>
      </c>
      <c r="J12" s="312" t="e">
        <f t="shared" si="8"/>
        <v>#REF!</v>
      </c>
      <c r="K12" s="306" t="e">
        <v>#REF!</v>
      </c>
      <c r="L12" s="310" t="e">
        <f t="shared" si="0"/>
        <v>#REF!</v>
      </c>
      <c r="M12" s="313" t="e">
        <f t="shared" si="1"/>
        <v>#REF!</v>
      </c>
      <c r="N12" s="312" t="e">
        <f t="shared" si="9"/>
        <v>#REF!</v>
      </c>
      <c r="O12" s="306" t="e">
        <v>#REF!</v>
      </c>
      <c r="P12" s="314" t="e">
        <f>O12/K12-1</f>
        <v>#REF!</v>
      </c>
      <c r="Q12" s="313" t="e">
        <f t="shared" si="3"/>
        <v>#REF!</v>
      </c>
      <c r="R12" s="314" t="e">
        <f t="shared" si="12"/>
        <v>#REF!</v>
      </c>
      <c r="S12" s="313" t="e">
        <f t="shared" si="13"/>
        <v>#REF!</v>
      </c>
      <c r="T12" s="312" t="e">
        <f t="shared" si="10"/>
        <v>#REF!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186</v>
      </c>
    </row>
    <row r="14" spans="1:31" s="4" customFormat="1" x14ac:dyDescent="0.25">
      <c r="B14" s="202" t="s">
        <v>187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188</v>
      </c>
    </row>
    <row r="15" spans="1:31" s="4" customFormat="1" x14ac:dyDescent="0.25">
      <c r="AE15" s="1"/>
    </row>
    <row r="18" spans="1:27" x14ac:dyDescent="0.25">
      <c r="A18" t="s">
        <v>198</v>
      </c>
    </row>
    <row r="19" spans="1:27" x14ac:dyDescent="0.25">
      <c r="AA19" t="str">
        <f>CONCATENATE("Hoteles: 
",FIXED(O7,0)," viajeros 
cuota: ",FIXED(T7*100,1),"%")</f>
        <v>Hoteles: 
29.490 viajeros 
cuota: 100,0%</v>
      </c>
    </row>
    <row r="20" spans="1:27" x14ac:dyDescent="0.25">
      <c r="AA20" t="e">
        <f>CONCATENATE("Apartamentos: 
",FIXED(O10,0)," viajeros
cuota: ",FIXED(T10*100,1),"%")</f>
        <v>#REF!</v>
      </c>
    </row>
    <row r="38" spans="2:31" s="4" customFormat="1" ht="15.75" hidden="1" customHeight="1" thickBot="1" x14ac:dyDescent="0.3">
      <c r="B38" s="12" t="s">
        <v>189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190</v>
      </c>
      <c r="O40" s="15">
        <v>2021</v>
      </c>
      <c r="P40" s="15" t="s">
        <v>190</v>
      </c>
      <c r="Q40" s="15" t="s">
        <v>191</v>
      </c>
      <c r="R40" s="15" t="s">
        <v>192</v>
      </c>
      <c r="S40" s="15" t="s">
        <v>193</v>
      </c>
      <c r="T40" s="112"/>
      <c r="AE40" s="1"/>
    </row>
    <row r="41" spans="2:31" s="4" customFormat="1" ht="18.75" hidden="1" x14ac:dyDescent="0.3">
      <c r="B41" s="277" t="s">
        <v>177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178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179</v>
      </c>
    </row>
    <row r="43" spans="2:31" ht="15.75" hidden="1" x14ac:dyDescent="0.25">
      <c r="B43" s="280" t="s">
        <v>102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180</v>
      </c>
    </row>
    <row r="44" spans="2:31" s="4" customFormat="1" hidden="1" x14ac:dyDescent="0.25">
      <c r="B44" s="283" t="s">
        <v>105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181</v>
      </c>
    </row>
    <row r="45" spans="2:31" s="4" customFormat="1" hidden="1" x14ac:dyDescent="0.25">
      <c r="B45" s="288" t="s">
        <v>182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183</v>
      </c>
    </row>
    <row r="46" spans="2:31" s="4" customFormat="1" hidden="1" x14ac:dyDescent="0.25">
      <c r="B46" s="288" t="s">
        <v>184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185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186</v>
      </c>
    </row>
    <row r="48" spans="2:31" s="4" customFormat="1" hidden="1" x14ac:dyDescent="0.25">
      <c r="B48" s="66" t="s">
        <v>187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94"/>
      <c r="AE48" s="1" t="s">
        <v>188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5" t="s">
        <v>199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195</v>
      </c>
      <c r="C134" s="297">
        <v>12382</v>
      </c>
      <c r="D134" s="281">
        <v>10731</v>
      </c>
      <c r="E134" s="281">
        <v>17520</v>
      </c>
      <c r="F134" s="281">
        <v>25698</v>
      </c>
      <c r="G134" s="282">
        <f>F134/E134-1</f>
        <v>0.46678082191780823</v>
      </c>
      <c r="H134" s="281">
        <f>F134-E134</f>
        <v>8178</v>
      </c>
      <c r="I134" s="282">
        <f>F134/F$134</f>
        <v>1</v>
      </c>
      <c r="J134" s="281">
        <v>23944</v>
      </c>
      <c r="K134" s="282">
        <f>J134/J$134</f>
        <v>1</v>
      </c>
      <c r="L134" s="282">
        <f>J134/F134-1</f>
        <v>-6.8254338859055186E-2</v>
      </c>
      <c r="M134" s="281">
        <f>J134-F134</f>
        <v>-1754</v>
      </c>
      <c r="N134" s="282">
        <f>J134/D134-1</f>
        <v>1.2312925170068025</v>
      </c>
      <c r="O134" s="281">
        <f>J134-D134</f>
        <v>13213</v>
      </c>
      <c r="Q134" s="37"/>
      <c r="R134" s="103"/>
      <c r="Z134" s="1" t="s">
        <v>179</v>
      </c>
      <c r="AE134"/>
    </row>
    <row r="135" spans="1:31" s="4" customFormat="1" x14ac:dyDescent="0.25">
      <c r="B135" s="299" t="s">
        <v>196</v>
      </c>
      <c r="C135" s="300">
        <v>12382</v>
      </c>
      <c r="D135" s="300">
        <v>10731</v>
      </c>
      <c r="E135" s="300">
        <v>17520</v>
      </c>
      <c r="F135" s="300">
        <v>25698</v>
      </c>
      <c r="G135" s="304">
        <f>IFERROR(F135/E135-1,"-")</f>
        <v>0.46678082191780823</v>
      </c>
      <c r="H135" s="300">
        <f t="shared" ref="H135:H138" si="14">F135-E135</f>
        <v>8178</v>
      </c>
      <c r="I135" s="302">
        <f>F135/F$134</f>
        <v>1</v>
      </c>
      <c r="J135" s="300">
        <v>23944</v>
      </c>
      <c r="K135" s="301">
        <f t="shared" ref="K135:K138" si="15">J135/J$134</f>
        <v>1</v>
      </c>
      <c r="L135" s="302">
        <f t="shared" ref="L135:L138" si="16">J135/F135-1</f>
        <v>-6.8254338859055186E-2</v>
      </c>
      <c r="M135" s="303">
        <f t="shared" ref="M135:M138" si="17">J135-F135</f>
        <v>-1754</v>
      </c>
      <c r="N135" s="301">
        <f t="shared" ref="N135:N138" si="18">J135/D135-1</f>
        <v>1.2312925170068025</v>
      </c>
      <c r="O135" s="300">
        <f t="shared" ref="O135:O138" si="19">J135-D135</f>
        <v>13213</v>
      </c>
      <c r="Q135" s="37"/>
      <c r="R135" s="103"/>
      <c r="Z135" s="1" t="s">
        <v>181</v>
      </c>
    </row>
    <row r="136" spans="1:31" s="4" customFormat="1" x14ac:dyDescent="0.25">
      <c r="B136" s="123" t="s">
        <v>64</v>
      </c>
      <c r="C136" s="306">
        <v>2731</v>
      </c>
      <c r="D136" s="306">
        <v>0</v>
      </c>
      <c r="E136" s="306">
        <v>1009</v>
      </c>
      <c r="F136" s="306">
        <v>1532</v>
      </c>
      <c r="G136" s="310">
        <f t="shared" ref="G136:G138" si="20">IFERROR(F136/E136-1,"-")</f>
        <v>0.51833498513379594</v>
      </c>
      <c r="H136" s="306">
        <f t="shared" si="14"/>
        <v>523</v>
      </c>
      <c r="I136" s="314">
        <f t="shared" ref="I136:I138" si="21">F136/F$134</f>
        <v>5.9615534282823568E-2</v>
      </c>
      <c r="J136" s="306">
        <v>1540</v>
      </c>
      <c r="K136" s="312">
        <f t="shared" si="15"/>
        <v>6.4316739057801539E-2</v>
      </c>
      <c r="L136" s="314">
        <f t="shared" si="16"/>
        <v>5.2219321148825326E-3</v>
      </c>
      <c r="M136" s="313">
        <f t="shared" si="17"/>
        <v>8</v>
      </c>
      <c r="N136" s="312" t="e">
        <f t="shared" si="18"/>
        <v>#DIV/0!</v>
      </c>
      <c r="O136" s="306">
        <f t="shared" si="19"/>
        <v>1540</v>
      </c>
      <c r="Q136" s="37"/>
      <c r="R136" s="103"/>
      <c r="Z136" s="1"/>
    </row>
    <row r="137" spans="1:31" s="4" customFormat="1" x14ac:dyDescent="0.25">
      <c r="B137" s="123" t="s">
        <v>63</v>
      </c>
      <c r="C137" s="306">
        <v>0</v>
      </c>
      <c r="D137" s="306">
        <v>0</v>
      </c>
      <c r="E137" s="306">
        <v>16511</v>
      </c>
      <c r="F137" s="306">
        <v>24166</v>
      </c>
      <c r="G137" s="308">
        <f t="shared" si="20"/>
        <v>0.46363030706801522</v>
      </c>
      <c r="H137" s="306">
        <f t="shared" si="14"/>
        <v>7655</v>
      </c>
      <c r="I137" s="318">
        <f t="shared" si="21"/>
        <v>0.94038446571717649</v>
      </c>
      <c r="J137" s="306">
        <v>22404</v>
      </c>
      <c r="K137" s="312">
        <f t="shared" si="15"/>
        <v>0.93568326094219845</v>
      </c>
      <c r="L137" s="314">
        <f t="shared" si="16"/>
        <v>-7.2912356202929685E-2</v>
      </c>
      <c r="M137" s="313">
        <f t="shared" si="17"/>
        <v>-1762</v>
      </c>
      <c r="N137" s="312" t="e">
        <f t="shared" si="18"/>
        <v>#DIV/0!</v>
      </c>
      <c r="O137" s="306">
        <f t="shared" si="19"/>
        <v>22404</v>
      </c>
      <c r="Q137" s="37"/>
      <c r="R137" s="103"/>
      <c r="Z137" s="1"/>
    </row>
    <row r="138" spans="1:31" s="4" customFormat="1" x14ac:dyDescent="0.25">
      <c r="B138" s="299" t="s">
        <v>197</v>
      </c>
      <c r="C138" s="300" t="e">
        <v>#REF!</v>
      </c>
      <c r="D138" s="300" t="e">
        <v>#REF!</v>
      </c>
      <c r="E138" s="300" t="e">
        <v>#REF!</v>
      </c>
      <c r="F138" s="300" t="e">
        <v>#REF!</v>
      </c>
      <c r="G138" s="304" t="str">
        <f t="shared" si="20"/>
        <v>-</v>
      </c>
      <c r="H138" s="300" t="e">
        <f t="shared" si="14"/>
        <v>#REF!</v>
      </c>
      <c r="I138" s="302" t="e">
        <f t="shared" si="21"/>
        <v>#REF!</v>
      </c>
      <c r="J138" s="300" t="e">
        <v>#REF!</v>
      </c>
      <c r="K138" s="301" t="e">
        <f t="shared" si="15"/>
        <v>#REF!</v>
      </c>
      <c r="L138" s="302" t="e">
        <f t="shared" si="16"/>
        <v>#REF!</v>
      </c>
      <c r="M138" s="303" t="e">
        <f t="shared" si="17"/>
        <v>#REF!</v>
      </c>
      <c r="N138" s="301" t="e">
        <f t="shared" si="18"/>
        <v>#REF!</v>
      </c>
      <c r="O138" s="300" t="e">
        <f t="shared" si="19"/>
        <v>#REF!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186</v>
      </c>
    </row>
    <row r="140" spans="1:31" s="4" customFormat="1" ht="32.25" customHeight="1" x14ac:dyDescent="0.25">
      <c r="B140" s="319" t="s">
        <v>200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188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01FDB-E649-4988-B29C-1B365DDB4BED}">
  <sheetPr>
    <tabColor theme="4" tint="0.39997558519241921"/>
  </sheetPr>
  <dimension ref="A1:AE142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194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316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201</v>
      </c>
      <c r="C6" s="297">
        <v>5893</v>
      </c>
      <c r="D6" s="297">
        <v>7874</v>
      </c>
      <c r="E6" s="297">
        <v>14379</v>
      </c>
      <c r="F6" s="298">
        <f>E6/$E$6</f>
        <v>1</v>
      </c>
      <c r="G6" s="297">
        <v>22489</v>
      </c>
      <c r="H6" s="298">
        <f>G6/E6-1</f>
        <v>0.56401696919118161</v>
      </c>
      <c r="I6" s="297">
        <f>G6-E6</f>
        <v>8110</v>
      </c>
      <c r="J6" s="298">
        <f>G6/$G$6</f>
        <v>1</v>
      </c>
      <c r="K6" s="297">
        <v>20148</v>
      </c>
      <c r="L6" s="298">
        <f t="shared" ref="L6:L12" si="0">K6/G6-1</f>
        <v>-0.10409533549735428</v>
      </c>
      <c r="M6" s="297">
        <f t="shared" ref="M6:M12" si="1">K6-G6</f>
        <v>-2341</v>
      </c>
      <c r="N6" s="298">
        <f>K6/$K$6</f>
        <v>1</v>
      </c>
      <c r="O6" s="297">
        <v>18580</v>
      </c>
      <c r="P6" s="298">
        <f t="shared" ref="P6:P11" si="2">O6/K6-1</f>
        <v>-7.7824101647806287E-2</v>
      </c>
      <c r="Q6" s="297">
        <f t="shared" ref="Q6:Q12" si="3">O6-K6</f>
        <v>-1568</v>
      </c>
      <c r="R6" s="298">
        <f>O6/C6-1</f>
        <v>2.1528932631936195</v>
      </c>
      <c r="S6" s="297">
        <f>O6-C6</f>
        <v>12687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99" t="s">
        <v>196</v>
      </c>
      <c r="C7" s="300">
        <v>5893</v>
      </c>
      <c r="D7" s="300">
        <v>7874</v>
      </c>
      <c r="E7" s="300">
        <v>14379</v>
      </c>
      <c r="F7" s="301">
        <f t="shared" ref="F7:F12" si="4">E7/$E$6</f>
        <v>1</v>
      </c>
      <c r="G7" s="300">
        <v>22489</v>
      </c>
      <c r="H7" s="302">
        <f>G7/E7-1</f>
        <v>0.56401696919118161</v>
      </c>
      <c r="I7" s="303">
        <f>G7-E7</f>
        <v>8110</v>
      </c>
      <c r="J7" s="301">
        <f>G7/$G$6</f>
        <v>1</v>
      </c>
      <c r="K7" s="300">
        <v>20148</v>
      </c>
      <c r="L7" s="304">
        <f t="shared" si="0"/>
        <v>-0.10409533549735428</v>
      </c>
      <c r="M7" s="305">
        <f t="shared" si="1"/>
        <v>-2341</v>
      </c>
      <c r="N7" s="301">
        <f>K7/$K$6</f>
        <v>1</v>
      </c>
      <c r="O7" s="300">
        <v>18580</v>
      </c>
      <c r="P7" s="302">
        <f t="shared" si="2"/>
        <v>-7.7824101647806287E-2</v>
      </c>
      <c r="Q7" s="303">
        <f t="shared" si="3"/>
        <v>-1568</v>
      </c>
      <c r="R7" s="302">
        <f t="shared" ref="R7:R10" si="5">O7/C7-1</f>
        <v>2.1528932631936195</v>
      </c>
      <c r="S7" s="303">
        <f t="shared" ref="S7:S10" si="6">O7-C7</f>
        <v>12687</v>
      </c>
      <c r="T7" s="301">
        <f>O7/$O$6</f>
        <v>1</v>
      </c>
      <c r="V7" s="37"/>
      <c r="W7" s="103"/>
      <c r="AE7" s="1" t="s">
        <v>181</v>
      </c>
    </row>
    <row r="8" spans="1:31" s="4" customFormat="1" x14ac:dyDescent="0.25">
      <c r="B8" s="123" t="s">
        <v>64</v>
      </c>
      <c r="C8" s="306">
        <v>668</v>
      </c>
      <c r="D8" s="306">
        <v>0</v>
      </c>
      <c r="E8" s="306">
        <v>703</v>
      </c>
      <c r="F8" s="307">
        <f t="shared" si="4"/>
        <v>4.8890743445302177E-2</v>
      </c>
      <c r="G8" s="306">
        <v>1059</v>
      </c>
      <c r="H8" s="308">
        <f>IFERROR(G8/E8-1,"-")</f>
        <v>0.50640113798008546</v>
      </c>
      <c r="I8" s="309">
        <f t="shared" ref="I8:I12" si="7">G8-E8</f>
        <v>356</v>
      </c>
      <c r="J8" s="307">
        <f t="shared" ref="J8:J12" si="8">G8/$G$6</f>
        <v>4.7089688292053893E-2</v>
      </c>
      <c r="K8" s="306">
        <v>1259</v>
      </c>
      <c r="L8" s="310">
        <f>IFERROR(K8/G8-1,"-")</f>
        <v>0.18885741265344658</v>
      </c>
      <c r="M8" s="311">
        <f>IF(G8=0,"nd",K8-G8)</f>
        <v>200</v>
      </c>
      <c r="N8" s="312">
        <f t="shared" ref="N8:N12" si="9">K8/$K$6</f>
        <v>6.2487591820528092E-2</v>
      </c>
      <c r="O8" s="306">
        <v>1177</v>
      </c>
      <c r="P8" s="310">
        <f>IFERROR(O8/K8-1,"-")</f>
        <v>-6.5131056393963438E-2</v>
      </c>
      <c r="Q8" s="313">
        <f t="shared" si="3"/>
        <v>-82</v>
      </c>
      <c r="R8" s="310">
        <f>IFERROR(O8/C8-1,"-")</f>
        <v>0.76197604790419171</v>
      </c>
      <c r="S8" s="313">
        <f t="shared" si="6"/>
        <v>509</v>
      </c>
      <c r="T8" s="312">
        <f t="shared" ref="T8:T12" si="10">O8/$O$6</f>
        <v>6.3347685683530677E-2</v>
      </c>
      <c r="V8" s="37"/>
      <c r="W8" s="103"/>
      <c r="AE8" s="1"/>
    </row>
    <row r="9" spans="1:31" s="4" customFormat="1" x14ac:dyDescent="0.25">
      <c r="B9" s="123" t="s">
        <v>63</v>
      </c>
      <c r="C9" s="306">
        <v>2547</v>
      </c>
      <c r="D9" s="306">
        <v>0</v>
      </c>
      <c r="E9" s="306">
        <v>10207</v>
      </c>
      <c r="F9" s="312">
        <f t="shared" si="4"/>
        <v>0.70985464914110852</v>
      </c>
      <c r="G9" s="306">
        <v>17520</v>
      </c>
      <c r="H9" s="308">
        <f>IFERROR(G9/E9-1,"-")</f>
        <v>0.71646908984030566</v>
      </c>
      <c r="I9" s="313">
        <f t="shared" si="7"/>
        <v>7313</v>
      </c>
      <c r="J9" s="312">
        <f t="shared" si="8"/>
        <v>0.77904753435012675</v>
      </c>
      <c r="K9" s="306">
        <v>18889</v>
      </c>
      <c r="L9" s="310">
        <f>IFERROR(K9/G9-1,"-")</f>
        <v>7.8139269406392708E-2</v>
      </c>
      <c r="M9" s="311">
        <f>IF(G9=0,"nd",K9-G9)</f>
        <v>1369</v>
      </c>
      <c r="N9" s="312">
        <f t="shared" si="9"/>
        <v>0.9375124081794719</v>
      </c>
      <c r="O9" s="306">
        <v>17187</v>
      </c>
      <c r="P9" s="310">
        <f t="shared" si="2"/>
        <v>-9.0105352321456889E-2</v>
      </c>
      <c r="Q9" s="313">
        <f t="shared" si="3"/>
        <v>-1702</v>
      </c>
      <c r="R9" s="314">
        <f t="shared" si="5"/>
        <v>5.7479387514723204</v>
      </c>
      <c r="S9" s="313">
        <f t="shared" si="6"/>
        <v>14640</v>
      </c>
      <c r="T9" s="312">
        <f t="shared" si="10"/>
        <v>0.92502691065662002</v>
      </c>
      <c r="V9" s="37"/>
      <c r="W9" s="103"/>
      <c r="AE9" s="1"/>
    </row>
    <row r="10" spans="1:31" s="4" customFormat="1" x14ac:dyDescent="0.25">
      <c r="B10" s="299" t="s">
        <v>197</v>
      </c>
      <c r="C10" s="315" t="s">
        <v>233</v>
      </c>
      <c r="D10" s="315" t="s">
        <v>233</v>
      </c>
      <c r="E10" s="315" t="s">
        <v>233</v>
      </c>
      <c r="F10" s="316" t="str">
        <f>IFERROR(E10/$E$6,"-")</f>
        <v>-</v>
      </c>
      <c r="G10" s="315" t="s">
        <v>233</v>
      </c>
      <c r="H10" s="304" t="str">
        <f>IFERROR(G10/E10-1,"-")</f>
        <v>-</v>
      </c>
      <c r="I10" s="305" t="str">
        <f>IFERROR(G10-E10,"-")</f>
        <v>-</v>
      </c>
      <c r="J10" s="316" t="str">
        <f>IFERROR(G10/$G$6,"-")</f>
        <v>-</v>
      </c>
      <c r="K10" s="315" t="s">
        <v>233</v>
      </c>
      <c r="L10" s="304" t="str">
        <f>IFERROR(K10/G10-1,"-")</f>
        <v>-</v>
      </c>
      <c r="M10" s="305" t="str">
        <f>IFERROR(K10-G10,"-")</f>
        <v>-</v>
      </c>
      <c r="N10" s="316" t="str">
        <f>IFERROR(K10/$K$6,"-")</f>
        <v>-</v>
      </c>
      <c r="O10" s="315" t="s">
        <v>233</v>
      </c>
      <c r="P10" s="304" t="str">
        <f>IFERROR(O10/K10-1,"-")</f>
        <v>-</v>
      </c>
      <c r="Q10" s="305" t="str">
        <f>IFERROR(O10-K10,"-")</f>
        <v>-</v>
      </c>
      <c r="R10" s="304" t="e">
        <f t="shared" si="5"/>
        <v>#VALUE!</v>
      </c>
      <c r="S10" s="305" t="e">
        <f t="shared" si="6"/>
        <v>#VALUE!</v>
      </c>
      <c r="T10" s="316" t="str">
        <f>IFERROR(O10/$O$6,"-")</f>
        <v>-</v>
      </c>
      <c r="V10" s="37"/>
      <c r="W10" s="103"/>
      <c r="AE10" s="1"/>
    </row>
    <row r="11" spans="1:31" s="4" customFormat="1" hidden="1" x14ac:dyDescent="0.25">
      <c r="B11" s="123" t="s">
        <v>64</v>
      </c>
      <c r="C11" s="306" t="e">
        <v>#REF!</v>
      </c>
      <c r="D11" s="306" t="e">
        <v>#REF!</v>
      </c>
      <c r="E11" s="306" t="e">
        <v>#REF!</v>
      </c>
      <c r="F11" s="312" t="e">
        <f t="shared" si="4"/>
        <v>#REF!</v>
      </c>
      <c r="G11" s="306" t="e">
        <v>#REF!</v>
      </c>
      <c r="H11" s="314" t="e">
        <f t="shared" ref="H11:H12" si="11">G11/E11-1</f>
        <v>#REF!</v>
      </c>
      <c r="I11" s="313" t="e">
        <f t="shared" si="7"/>
        <v>#REF!</v>
      </c>
      <c r="J11" s="312" t="e">
        <f t="shared" si="8"/>
        <v>#REF!</v>
      </c>
      <c r="K11" s="306" t="e">
        <v>#REF!</v>
      </c>
      <c r="L11" s="310" t="e">
        <f>K11/G11-1</f>
        <v>#REF!</v>
      </c>
      <c r="M11" s="313" t="e">
        <f t="shared" si="1"/>
        <v>#REF!</v>
      </c>
      <c r="N11" s="312" t="e">
        <f t="shared" si="9"/>
        <v>#REF!</v>
      </c>
      <c r="O11" s="306" t="e">
        <v>#REF!</v>
      </c>
      <c r="P11" s="314" t="e">
        <f t="shared" si="2"/>
        <v>#REF!</v>
      </c>
      <c r="Q11" s="313" t="e">
        <f t="shared" si="3"/>
        <v>#REF!</v>
      </c>
      <c r="R11" s="314" t="e">
        <f t="shared" ref="R11:R12" si="12">O11/D11-1</f>
        <v>#REF!</v>
      </c>
      <c r="S11" s="313" t="e">
        <f t="shared" ref="S11:S12" si="13">O11-D11</f>
        <v>#REF!</v>
      </c>
      <c r="T11" s="312" t="e">
        <f t="shared" si="10"/>
        <v>#REF!</v>
      </c>
      <c r="V11" s="37"/>
      <c r="W11" s="103"/>
      <c r="AE11" s="1"/>
    </row>
    <row r="12" spans="1:31" s="4" customFormat="1" hidden="1" x14ac:dyDescent="0.25">
      <c r="B12" s="123" t="s">
        <v>63</v>
      </c>
      <c r="C12" s="306" t="e">
        <v>#REF!</v>
      </c>
      <c r="D12" s="306" t="e">
        <v>#REF!</v>
      </c>
      <c r="E12" s="306" t="e">
        <v>#REF!</v>
      </c>
      <c r="F12" s="312" t="e">
        <f t="shared" si="4"/>
        <v>#REF!</v>
      </c>
      <c r="G12" s="306" t="e">
        <v>#REF!</v>
      </c>
      <c r="H12" s="314" t="e">
        <f t="shared" si="11"/>
        <v>#REF!</v>
      </c>
      <c r="I12" s="313" t="e">
        <f t="shared" si="7"/>
        <v>#REF!</v>
      </c>
      <c r="J12" s="312" t="e">
        <f t="shared" si="8"/>
        <v>#REF!</v>
      </c>
      <c r="K12" s="306" t="e">
        <v>#REF!</v>
      </c>
      <c r="L12" s="310" t="e">
        <f t="shared" si="0"/>
        <v>#REF!</v>
      </c>
      <c r="M12" s="313" t="e">
        <f t="shared" si="1"/>
        <v>#REF!</v>
      </c>
      <c r="N12" s="312" t="e">
        <f t="shared" si="9"/>
        <v>#REF!</v>
      </c>
      <c r="O12" s="306" t="e">
        <v>#REF!</v>
      </c>
      <c r="P12" s="314" t="e">
        <f>O12/K12-1</f>
        <v>#REF!</v>
      </c>
      <c r="Q12" s="313" t="e">
        <f t="shared" si="3"/>
        <v>#REF!</v>
      </c>
      <c r="R12" s="314" t="e">
        <f t="shared" si="12"/>
        <v>#REF!</v>
      </c>
      <c r="S12" s="313" t="e">
        <f t="shared" si="13"/>
        <v>#REF!</v>
      </c>
      <c r="T12" s="312" t="e">
        <f t="shared" si="10"/>
        <v>#REF!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186</v>
      </c>
    </row>
    <row r="14" spans="1:31" s="4" customFormat="1" x14ac:dyDescent="0.25">
      <c r="B14" s="202" t="s">
        <v>187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188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18.580 viajeros 
cuota: 100,0%</v>
      </c>
    </row>
    <row r="20" spans="27:27" x14ac:dyDescent="0.25">
      <c r="AA20" t="e">
        <f>CONCATENATE("Apartamentos: 
",FIXED(O10,0)," viajeros
cuota: ",FIXED(T10*100,1),"%")</f>
        <v>#VALUE!</v>
      </c>
    </row>
    <row r="38" spans="2:31" s="4" customFormat="1" ht="15.75" hidden="1" customHeight="1" thickBot="1" x14ac:dyDescent="0.3">
      <c r="B38" s="12" t="s">
        <v>189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190</v>
      </c>
      <c r="O40" s="15">
        <v>2021</v>
      </c>
      <c r="P40" s="15" t="s">
        <v>190</v>
      </c>
      <c r="Q40" s="15" t="s">
        <v>191</v>
      </c>
      <c r="R40" s="15" t="s">
        <v>192</v>
      </c>
      <c r="S40" s="15" t="s">
        <v>193</v>
      </c>
      <c r="T40" s="112"/>
      <c r="AE40" s="1"/>
    </row>
    <row r="41" spans="2:31" s="4" customFormat="1" ht="18.75" hidden="1" x14ac:dyDescent="0.3">
      <c r="B41" s="277" t="s">
        <v>177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178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179</v>
      </c>
    </row>
    <row r="43" spans="2:31" ht="15.75" hidden="1" x14ac:dyDescent="0.25">
      <c r="B43" s="280" t="s">
        <v>102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180</v>
      </c>
    </row>
    <row r="44" spans="2:31" s="4" customFormat="1" hidden="1" x14ac:dyDescent="0.25">
      <c r="B44" s="283" t="s">
        <v>105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181</v>
      </c>
    </row>
    <row r="45" spans="2:31" s="4" customFormat="1" hidden="1" x14ac:dyDescent="0.25">
      <c r="B45" s="288" t="s">
        <v>182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183</v>
      </c>
    </row>
    <row r="46" spans="2:31" s="4" customFormat="1" hidden="1" x14ac:dyDescent="0.25">
      <c r="B46" s="288" t="s">
        <v>184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185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186</v>
      </c>
    </row>
    <row r="48" spans="2:31" s="4" customFormat="1" hidden="1" x14ac:dyDescent="0.25">
      <c r="B48" s="66" t="s">
        <v>187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94"/>
      <c r="AE48" s="1" t="s">
        <v>188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5" t="s">
        <v>202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201</v>
      </c>
      <c r="C134" s="281">
        <v>7339</v>
      </c>
      <c r="D134" s="281">
        <v>10731</v>
      </c>
      <c r="E134" s="281">
        <v>17520</v>
      </c>
      <c r="F134" s="281">
        <v>25698</v>
      </c>
      <c r="G134" s="282">
        <f>F134/E134-1</f>
        <v>0.46678082191780823</v>
      </c>
      <c r="H134" s="281">
        <f>F134-E134</f>
        <v>8178</v>
      </c>
      <c r="I134" s="282">
        <f>F134/F$134</f>
        <v>1</v>
      </c>
      <c r="J134" s="281">
        <v>23944</v>
      </c>
      <c r="K134" s="282">
        <f>J134/J$134</f>
        <v>1</v>
      </c>
      <c r="L134" s="282">
        <f>J134/F134-1</f>
        <v>-6.8254338859055186E-2</v>
      </c>
      <c r="M134" s="281">
        <f>J134-F134</f>
        <v>-1754</v>
      </c>
      <c r="N134" s="282">
        <f>J134/D134-1</f>
        <v>1.2312925170068025</v>
      </c>
      <c r="O134" s="281">
        <f>J134-D134</f>
        <v>13213</v>
      </c>
      <c r="Q134" s="37"/>
      <c r="R134" s="103"/>
      <c r="Z134" s="1" t="s">
        <v>179</v>
      </c>
      <c r="AE134"/>
    </row>
    <row r="135" spans="1:31" s="4" customFormat="1" x14ac:dyDescent="0.25">
      <c r="B135" s="299" t="s">
        <v>196</v>
      </c>
      <c r="C135" s="300">
        <v>7339</v>
      </c>
      <c r="D135" s="300">
        <v>10731</v>
      </c>
      <c r="E135" s="300">
        <v>17520</v>
      </c>
      <c r="F135" s="300">
        <v>25698</v>
      </c>
      <c r="G135" s="304">
        <f>IFERROR(F135/E135-1,"-")</f>
        <v>0.46678082191780823</v>
      </c>
      <c r="H135" s="300">
        <f t="shared" ref="H135:H138" si="14">F135-E135</f>
        <v>8178</v>
      </c>
      <c r="I135" s="302">
        <f>F135/F$134</f>
        <v>1</v>
      </c>
      <c r="J135" s="300">
        <v>23944</v>
      </c>
      <c r="K135" s="301">
        <f t="shared" ref="K135:K138" si="15">J135/J$134</f>
        <v>1</v>
      </c>
      <c r="L135" s="302">
        <f t="shared" ref="L135:L138" si="16">J135/F135-1</f>
        <v>-6.8254338859055186E-2</v>
      </c>
      <c r="M135" s="303">
        <f t="shared" ref="M135:M138" si="17">J135-F135</f>
        <v>-1754</v>
      </c>
      <c r="N135" s="301">
        <f t="shared" ref="N135:N138" si="18">J135/D135-1</f>
        <v>1.2312925170068025</v>
      </c>
      <c r="O135" s="300">
        <f t="shared" ref="O135:O138" si="19">J135-D135</f>
        <v>13213</v>
      </c>
      <c r="Q135" s="37"/>
      <c r="R135" s="103"/>
      <c r="Z135" s="1" t="s">
        <v>181</v>
      </c>
    </row>
    <row r="136" spans="1:31" s="4" customFormat="1" x14ac:dyDescent="0.25">
      <c r="B136" s="123" t="s">
        <v>64</v>
      </c>
      <c r="C136" s="306">
        <v>0</v>
      </c>
      <c r="D136" s="306">
        <v>0</v>
      </c>
      <c r="E136" s="306">
        <v>1009</v>
      </c>
      <c r="F136" s="306">
        <v>1532</v>
      </c>
      <c r="G136" s="310">
        <f t="shared" ref="G136:G138" si="20">IFERROR(F136/E136-1,"-")</f>
        <v>0.51833498513379594</v>
      </c>
      <c r="H136" s="306">
        <f t="shared" si="14"/>
        <v>523</v>
      </c>
      <c r="I136" s="314">
        <f t="shared" ref="I136:I138" si="21">F136/F$134</f>
        <v>5.9615534282823568E-2</v>
      </c>
      <c r="J136" s="306">
        <v>1540</v>
      </c>
      <c r="K136" s="312">
        <f t="shared" si="15"/>
        <v>6.4316739057801539E-2</v>
      </c>
      <c r="L136" s="314">
        <f t="shared" si="16"/>
        <v>5.2219321148825326E-3</v>
      </c>
      <c r="M136" s="313">
        <f t="shared" si="17"/>
        <v>8</v>
      </c>
      <c r="N136" s="312" t="e">
        <f t="shared" si="18"/>
        <v>#DIV/0!</v>
      </c>
      <c r="O136" s="306">
        <f t="shared" si="19"/>
        <v>1540</v>
      </c>
      <c r="Q136" s="37"/>
      <c r="R136" s="103"/>
      <c r="Z136" s="1"/>
    </row>
    <row r="137" spans="1:31" s="4" customFormat="1" x14ac:dyDescent="0.25">
      <c r="B137" s="123" t="s">
        <v>63</v>
      </c>
      <c r="C137" s="306">
        <v>0</v>
      </c>
      <c r="D137" s="306">
        <v>0</v>
      </c>
      <c r="E137" s="306">
        <v>16511</v>
      </c>
      <c r="F137" s="306">
        <v>24166</v>
      </c>
      <c r="G137" s="308">
        <f t="shared" si="20"/>
        <v>0.46363030706801522</v>
      </c>
      <c r="H137" s="306">
        <f t="shared" si="14"/>
        <v>7655</v>
      </c>
      <c r="I137" s="318">
        <f t="shared" si="21"/>
        <v>0.94038446571717649</v>
      </c>
      <c r="J137" s="306">
        <v>22404</v>
      </c>
      <c r="K137" s="312">
        <f t="shared" si="15"/>
        <v>0.93568326094219845</v>
      </c>
      <c r="L137" s="314">
        <f t="shared" si="16"/>
        <v>-7.2912356202929685E-2</v>
      </c>
      <c r="M137" s="313">
        <f t="shared" si="17"/>
        <v>-1762</v>
      </c>
      <c r="N137" s="312" t="e">
        <f t="shared" si="18"/>
        <v>#DIV/0!</v>
      </c>
      <c r="O137" s="306">
        <f t="shared" si="19"/>
        <v>22404</v>
      </c>
      <c r="Q137" s="37"/>
      <c r="R137" s="103"/>
      <c r="Z137" s="1"/>
    </row>
    <row r="138" spans="1:31" s="4" customFormat="1" x14ac:dyDescent="0.25">
      <c r="B138" s="299" t="s">
        <v>197</v>
      </c>
      <c r="C138" s="300" t="e">
        <v>#REF!</v>
      </c>
      <c r="D138" s="300" t="e">
        <v>#REF!</v>
      </c>
      <c r="E138" s="300" t="e">
        <v>#REF!</v>
      </c>
      <c r="F138" s="300" t="e">
        <v>#REF!</v>
      </c>
      <c r="G138" s="304" t="str">
        <f t="shared" si="20"/>
        <v>-</v>
      </c>
      <c r="H138" s="300" t="e">
        <f t="shared" si="14"/>
        <v>#REF!</v>
      </c>
      <c r="I138" s="302" t="e">
        <f t="shared" si="21"/>
        <v>#REF!</v>
      </c>
      <c r="J138" s="300" t="e">
        <v>#REF!</v>
      </c>
      <c r="K138" s="301" t="e">
        <f t="shared" si="15"/>
        <v>#REF!</v>
      </c>
      <c r="L138" s="302" t="e">
        <f t="shared" si="16"/>
        <v>#REF!</v>
      </c>
      <c r="M138" s="303" t="e">
        <f t="shared" si="17"/>
        <v>#REF!</v>
      </c>
      <c r="N138" s="301" t="e">
        <f t="shared" si="18"/>
        <v>#REF!</v>
      </c>
      <c r="O138" s="300" t="e">
        <f t="shared" si="19"/>
        <v>#REF!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186</v>
      </c>
    </row>
    <row r="140" spans="1:31" s="4" customFormat="1" ht="32.25" customHeight="1" x14ac:dyDescent="0.25">
      <c r="B140" s="319" t="s">
        <v>200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188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7D45E-7B42-4F3F-BD97-C7D859B1B45C}">
  <sheetPr>
    <tabColor theme="4" tint="0.39997558519241921"/>
  </sheetPr>
  <dimension ref="A1:AE142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194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203</v>
      </c>
      <c r="C6" s="297">
        <v>6489</v>
      </c>
      <c r="D6" s="297">
        <v>8211</v>
      </c>
      <c r="E6" s="297">
        <v>12915</v>
      </c>
      <c r="F6" s="298">
        <f>E6/$E$6</f>
        <v>1</v>
      </c>
      <c r="G6" s="297">
        <v>10196</v>
      </c>
      <c r="H6" s="298">
        <f>G6/E6-1</f>
        <v>-0.21053039101819593</v>
      </c>
      <c r="I6" s="297">
        <f>G6-E6</f>
        <v>-2719</v>
      </c>
      <c r="J6" s="298">
        <f>G6/$G$6</f>
        <v>1</v>
      </c>
      <c r="K6" s="297">
        <v>9167</v>
      </c>
      <c r="L6" s="298">
        <f t="shared" ref="L6:L12" si="0">K6/G6-1</f>
        <v>-0.10092193016869355</v>
      </c>
      <c r="M6" s="297">
        <f t="shared" ref="M6:M12" si="1">K6-G6</f>
        <v>-1029</v>
      </c>
      <c r="N6" s="298">
        <f>K6/$K$6</f>
        <v>1</v>
      </c>
      <c r="O6" s="297">
        <v>10910</v>
      </c>
      <c r="P6" s="298">
        <f t="shared" ref="P6:P11" si="2">O6/K6-1</f>
        <v>0.19013854041671219</v>
      </c>
      <c r="Q6" s="297">
        <f t="shared" ref="Q6:Q12" si="3">O6-K6</f>
        <v>1743</v>
      </c>
      <c r="R6" s="298">
        <f>O6/C6-1</f>
        <v>0.68130682693789479</v>
      </c>
      <c r="S6" s="297">
        <f>O6-C6</f>
        <v>4421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99" t="s">
        <v>196</v>
      </c>
      <c r="C7" s="300">
        <v>6489</v>
      </c>
      <c r="D7" s="300">
        <v>8211</v>
      </c>
      <c r="E7" s="300">
        <v>12915</v>
      </c>
      <c r="F7" s="301">
        <f t="shared" ref="F7:F12" si="4">E7/$E$6</f>
        <v>1</v>
      </c>
      <c r="G7" s="300">
        <v>10196</v>
      </c>
      <c r="H7" s="302">
        <f>G7/E7-1</f>
        <v>-0.21053039101819593</v>
      </c>
      <c r="I7" s="303">
        <f>G7-E7</f>
        <v>-2719</v>
      </c>
      <c r="J7" s="301">
        <f>G7/$G$6</f>
        <v>1</v>
      </c>
      <c r="K7" s="300">
        <v>9167</v>
      </c>
      <c r="L7" s="304">
        <f t="shared" si="0"/>
        <v>-0.10092193016869355</v>
      </c>
      <c r="M7" s="305">
        <f t="shared" si="1"/>
        <v>-1029</v>
      </c>
      <c r="N7" s="301">
        <f>K7/$K$6</f>
        <v>1</v>
      </c>
      <c r="O7" s="300">
        <v>10910</v>
      </c>
      <c r="P7" s="302">
        <f t="shared" si="2"/>
        <v>0.19013854041671219</v>
      </c>
      <c r="Q7" s="303">
        <f t="shared" si="3"/>
        <v>1743</v>
      </c>
      <c r="R7" s="302">
        <f t="shared" ref="R7:R10" si="5">O7/C7-1</f>
        <v>0.68130682693789479</v>
      </c>
      <c r="S7" s="303">
        <f t="shared" ref="S7:S10" si="6">O7-C7</f>
        <v>4421</v>
      </c>
      <c r="T7" s="301">
        <f>O7/$O$6</f>
        <v>1</v>
      </c>
      <c r="V7" s="37"/>
      <c r="W7" s="103"/>
      <c r="AE7" s="1" t="s">
        <v>181</v>
      </c>
    </row>
    <row r="8" spans="1:31" s="4" customFormat="1" x14ac:dyDescent="0.25">
      <c r="B8" s="123" t="s">
        <v>64</v>
      </c>
      <c r="C8" s="306">
        <v>2063</v>
      </c>
      <c r="D8" s="306">
        <v>0</v>
      </c>
      <c r="E8" s="306">
        <v>1960</v>
      </c>
      <c r="F8" s="307">
        <f t="shared" si="4"/>
        <v>0.15176151761517614</v>
      </c>
      <c r="G8" s="306">
        <v>2505</v>
      </c>
      <c r="H8" s="308">
        <f>IFERROR(G8/E8-1,"-")</f>
        <v>0.27806122448979598</v>
      </c>
      <c r="I8" s="309">
        <f t="shared" ref="I8:I12" si="7">G8-E8</f>
        <v>545</v>
      </c>
      <c r="J8" s="307">
        <f t="shared" ref="J8:J12" si="8">G8/$G$6</f>
        <v>0.24568458218909375</v>
      </c>
      <c r="K8" s="306">
        <v>3234</v>
      </c>
      <c r="L8" s="310">
        <f>IFERROR(K8/G8-1,"-")</f>
        <v>0.29101796407185621</v>
      </c>
      <c r="M8" s="311">
        <f>IF(G8=0,"nd",K8-G8)</f>
        <v>729</v>
      </c>
      <c r="N8" s="312">
        <f t="shared" ref="N8:N12" si="9">K8/$K$6</f>
        <v>0.35278717137558635</v>
      </c>
      <c r="O8" s="306">
        <v>3138</v>
      </c>
      <c r="P8" s="310">
        <f>IFERROR(O8/K8-1,"-")</f>
        <v>-2.9684601113172504E-2</v>
      </c>
      <c r="Q8" s="313">
        <f t="shared" si="3"/>
        <v>-96</v>
      </c>
      <c r="R8" s="310">
        <f>IFERROR(O8/C8-1,"-")</f>
        <v>0.52108579738245275</v>
      </c>
      <c r="S8" s="313">
        <f t="shared" si="6"/>
        <v>1075</v>
      </c>
      <c r="T8" s="312">
        <f t="shared" ref="T8:T12" si="10">O8/$O$6</f>
        <v>0.28762603116406965</v>
      </c>
      <c r="V8" s="37"/>
      <c r="W8" s="103"/>
      <c r="AE8" s="1"/>
    </row>
    <row r="9" spans="1:31" s="4" customFormat="1" x14ac:dyDescent="0.25">
      <c r="B9" s="123" t="s">
        <v>63</v>
      </c>
      <c r="C9" s="306">
        <v>2176</v>
      </c>
      <c r="D9" s="306">
        <v>0</v>
      </c>
      <c r="E9" s="306">
        <v>7721</v>
      </c>
      <c r="F9" s="312">
        <f t="shared" si="4"/>
        <v>0.59783197831978319</v>
      </c>
      <c r="G9" s="306">
        <v>5043</v>
      </c>
      <c r="H9" s="308">
        <f>IFERROR(G9/E9-1,"-")</f>
        <v>-0.34684626343737857</v>
      </c>
      <c r="I9" s="313">
        <f t="shared" si="7"/>
        <v>-2678</v>
      </c>
      <c r="J9" s="312">
        <f t="shared" si="8"/>
        <v>0.49460572773636718</v>
      </c>
      <c r="K9" s="306">
        <v>5933</v>
      </c>
      <c r="L9" s="310">
        <f>IFERROR(K9/G9-1,"-")</f>
        <v>0.17648225262740436</v>
      </c>
      <c r="M9" s="311">
        <f>IF(G9=0,"nd",K9-G9)</f>
        <v>890</v>
      </c>
      <c r="N9" s="312">
        <f t="shared" si="9"/>
        <v>0.64721282862441365</v>
      </c>
      <c r="O9" s="306">
        <v>7386</v>
      </c>
      <c r="P9" s="310">
        <f t="shared" si="2"/>
        <v>0.24490139895499752</v>
      </c>
      <c r="Q9" s="313">
        <f t="shared" si="3"/>
        <v>1453</v>
      </c>
      <c r="R9" s="314">
        <f t="shared" si="5"/>
        <v>2.3943014705882355</v>
      </c>
      <c r="S9" s="313">
        <f t="shared" si="6"/>
        <v>5210</v>
      </c>
      <c r="T9" s="312">
        <f t="shared" si="10"/>
        <v>0.67699358386801101</v>
      </c>
      <c r="V9" s="37"/>
      <c r="W9" s="103"/>
      <c r="AE9" s="1"/>
    </row>
    <row r="10" spans="1:31" s="4" customFormat="1" x14ac:dyDescent="0.25">
      <c r="B10" s="299" t="s">
        <v>197</v>
      </c>
      <c r="C10" s="315" t="s">
        <v>233</v>
      </c>
      <c r="D10" s="315" t="s">
        <v>233</v>
      </c>
      <c r="E10" s="315" t="s">
        <v>233</v>
      </c>
      <c r="F10" s="316" t="str">
        <f>IFERROR(E10/$E$6,"-")</f>
        <v>-</v>
      </c>
      <c r="G10" s="315" t="s">
        <v>233</v>
      </c>
      <c r="H10" s="304" t="str">
        <f>IFERROR(G10/E10-1,"-")</f>
        <v>-</v>
      </c>
      <c r="I10" s="305" t="str">
        <f>IFERROR(G10-E10,"-")</f>
        <v>-</v>
      </c>
      <c r="J10" s="316" t="str">
        <f>IFERROR(G10/$G$6,"-")</f>
        <v>-</v>
      </c>
      <c r="K10" s="315" t="s">
        <v>233</v>
      </c>
      <c r="L10" s="304" t="str">
        <f>IFERROR(K10/G10-1,"-")</f>
        <v>-</v>
      </c>
      <c r="M10" s="305" t="str">
        <f>IFERROR(K10-G10,"-")</f>
        <v>-</v>
      </c>
      <c r="N10" s="316" t="str">
        <f>IFERROR(K10/$K$6,"-")</f>
        <v>-</v>
      </c>
      <c r="O10" s="315" t="s">
        <v>233</v>
      </c>
      <c r="P10" s="304" t="str">
        <f>IFERROR(O10/K10-1,"-")</f>
        <v>-</v>
      </c>
      <c r="Q10" s="305" t="str">
        <f>IFERROR(O10-K10,"-")</f>
        <v>-</v>
      </c>
      <c r="R10" s="304" t="e">
        <f t="shared" si="5"/>
        <v>#VALUE!</v>
      </c>
      <c r="S10" s="305" t="e">
        <f t="shared" si="6"/>
        <v>#VALUE!</v>
      </c>
      <c r="T10" s="316" t="str">
        <f>IFERROR(O10/$O$6,"-")</f>
        <v>-</v>
      </c>
      <c r="V10" s="37"/>
      <c r="W10" s="103"/>
      <c r="AE10" s="1"/>
    </row>
    <row r="11" spans="1:31" s="4" customFormat="1" hidden="1" x14ac:dyDescent="0.25">
      <c r="B11" s="123" t="s">
        <v>64</v>
      </c>
      <c r="C11" s="306" t="e">
        <v>#REF!</v>
      </c>
      <c r="D11" s="306" t="e">
        <v>#REF!</v>
      </c>
      <c r="E11" s="306" t="e">
        <v>#REF!</v>
      </c>
      <c r="F11" s="312" t="e">
        <f t="shared" si="4"/>
        <v>#REF!</v>
      </c>
      <c r="G11" s="306" t="e">
        <v>#REF!</v>
      </c>
      <c r="H11" s="314" t="e">
        <f t="shared" ref="H11:H12" si="11">G11/E11-1</f>
        <v>#REF!</v>
      </c>
      <c r="I11" s="313" t="e">
        <f t="shared" si="7"/>
        <v>#REF!</v>
      </c>
      <c r="J11" s="312" t="e">
        <f t="shared" si="8"/>
        <v>#REF!</v>
      </c>
      <c r="K11" s="306" t="e">
        <v>#REF!</v>
      </c>
      <c r="L11" s="310" t="e">
        <f>K11/G11-1</f>
        <v>#REF!</v>
      </c>
      <c r="M11" s="313" t="e">
        <f t="shared" si="1"/>
        <v>#REF!</v>
      </c>
      <c r="N11" s="312" t="e">
        <f t="shared" si="9"/>
        <v>#REF!</v>
      </c>
      <c r="O11" s="306" t="e">
        <v>#REF!</v>
      </c>
      <c r="P11" s="314" t="e">
        <f t="shared" si="2"/>
        <v>#REF!</v>
      </c>
      <c r="Q11" s="313" t="e">
        <f t="shared" si="3"/>
        <v>#REF!</v>
      </c>
      <c r="R11" s="314" t="e">
        <f t="shared" ref="R11:R12" si="12">O11/D11-1</f>
        <v>#REF!</v>
      </c>
      <c r="S11" s="313" t="e">
        <f t="shared" ref="S11:S12" si="13">O11-D11</f>
        <v>#REF!</v>
      </c>
      <c r="T11" s="312" t="e">
        <f t="shared" si="10"/>
        <v>#REF!</v>
      </c>
      <c r="V11" s="37"/>
      <c r="W11" s="103"/>
      <c r="AE11" s="1"/>
    </row>
    <row r="12" spans="1:31" s="4" customFormat="1" hidden="1" x14ac:dyDescent="0.25">
      <c r="B12" s="123" t="s">
        <v>63</v>
      </c>
      <c r="C12" s="306" t="e">
        <v>#REF!</v>
      </c>
      <c r="D12" s="306" t="e">
        <v>#REF!</v>
      </c>
      <c r="E12" s="306" t="e">
        <v>#REF!</v>
      </c>
      <c r="F12" s="312" t="e">
        <f t="shared" si="4"/>
        <v>#REF!</v>
      </c>
      <c r="G12" s="306" t="e">
        <v>#REF!</v>
      </c>
      <c r="H12" s="314" t="e">
        <f t="shared" si="11"/>
        <v>#REF!</v>
      </c>
      <c r="I12" s="313" t="e">
        <f t="shared" si="7"/>
        <v>#REF!</v>
      </c>
      <c r="J12" s="312" t="e">
        <f t="shared" si="8"/>
        <v>#REF!</v>
      </c>
      <c r="K12" s="306" t="e">
        <v>#REF!</v>
      </c>
      <c r="L12" s="310" t="e">
        <f t="shared" si="0"/>
        <v>#REF!</v>
      </c>
      <c r="M12" s="313" t="e">
        <f t="shared" si="1"/>
        <v>#REF!</v>
      </c>
      <c r="N12" s="312" t="e">
        <f t="shared" si="9"/>
        <v>#REF!</v>
      </c>
      <c r="O12" s="306" t="e">
        <v>#REF!</v>
      </c>
      <c r="P12" s="314" t="e">
        <f>O12/K12-1</f>
        <v>#REF!</v>
      </c>
      <c r="Q12" s="313" t="e">
        <f t="shared" si="3"/>
        <v>#REF!</v>
      </c>
      <c r="R12" s="314" t="e">
        <f t="shared" si="12"/>
        <v>#REF!</v>
      </c>
      <c r="S12" s="313" t="e">
        <f t="shared" si="13"/>
        <v>#REF!</v>
      </c>
      <c r="T12" s="312" t="e">
        <f t="shared" si="10"/>
        <v>#REF!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186</v>
      </c>
    </row>
    <row r="14" spans="1:31" s="4" customFormat="1" x14ac:dyDescent="0.25">
      <c r="B14" s="202" t="s">
        <v>187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188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10.910 viajeros 
cuota: 100,0%</v>
      </c>
    </row>
    <row r="20" spans="27:27" x14ac:dyDescent="0.25">
      <c r="AA20" t="e">
        <f>CONCATENATE("Apartamentos: 
",FIXED(O10,0)," viajeros
cuota: ",FIXED(T10*100,1),"%")</f>
        <v>#VALUE!</v>
      </c>
    </row>
    <row r="38" spans="2:31" s="4" customFormat="1" ht="15.75" hidden="1" customHeight="1" thickBot="1" x14ac:dyDescent="0.3">
      <c r="B38" s="12" t="s">
        <v>189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190</v>
      </c>
      <c r="O40" s="15">
        <v>2021</v>
      </c>
      <c r="P40" s="15" t="s">
        <v>190</v>
      </c>
      <c r="Q40" s="15" t="s">
        <v>191</v>
      </c>
      <c r="R40" s="15" t="s">
        <v>192</v>
      </c>
      <c r="S40" s="15" t="s">
        <v>193</v>
      </c>
      <c r="T40" s="112"/>
      <c r="AE40" s="1"/>
    </row>
    <row r="41" spans="2:31" s="4" customFormat="1" ht="18.75" hidden="1" x14ac:dyDescent="0.3">
      <c r="B41" s="277" t="s">
        <v>177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178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179</v>
      </c>
    </row>
    <row r="43" spans="2:31" ht="15.75" hidden="1" x14ac:dyDescent="0.25">
      <c r="B43" s="280" t="s">
        <v>102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180</v>
      </c>
    </row>
    <row r="44" spans="2:31" s="4" customFormat="1" hidden="1" x14ac:dyDescent="0.25">
      <c r="B44" s="283" t="s">
        <v>105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181</v>
      </c>
    </row>
    <row r="45" spans="2:31" s="4" customFormat="1" hidden="1" x14ac:dyDescent="0.25">
      <c r="B45" s="288" t="s">
        <v>182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183</v>
      </c>
    </row>
    <row r="46" spans="2:31" s="4" customFormat="1" hidden="1" x14ac:dyDescent="0.25">
      <c r="B46" s="288" t="s">
        <v>184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185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186</v>
      </c>
    </row>
    <row r="48" spans="2:31" s="4" customFormat="1" hidden="1" x14ac:dyDescent="0.25">
      <c r="B48" s="66" t="s">
        <v>187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94"/>
      <c r="AE48" s="1" t="s">
        <v>188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5" t="s">
        <v>204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203</v>
      </c>
      <c r="C134" s="281">
        <v>8684</v>
      </c>
      <c r="D134" s="281">
        <v>11001</v>
      </c>
      <c r="E134" s="281">
        <v>16289</v>
      </c>
      <c r="F134" s="281">
        <v>12024</v>
      </c>
      <c r="G134" s="282">
        <f>F134/E134-1</f>
        <v>-0.261833138928111</v>
      </c>
      <c r="H134" s="281">
        <f>F134-E134</f>
        <v>-4265</v>
      </c>
      <c r="I134" s="282">
        <f>F134/F$134</f>
        <v>1</v>
      </c>
      <c r="J134" s="281">
        <v>11877</v>
      </c>
      <c r="K134" s="282">
        <f>J134/J$134</f>
        <v>1</v>
      </c>
      <c r="L134" s="282">
        <f>J134/F134-1</f>
        <v>-1.2225548902195627E-2</v>
      </c>
      <c r="M134" s="281">
        <f>J134-F134</f>
        <v>-147</v>
      </c>
      <c r="N134" s="282">
        <f>J134/D134-1</f>
        <v>7.962912462503402E-2</v>
      </c>
      <c r="O134" s="281">
        <f>J134-D134</f>
        <v>876</v>
      </c>
      <c r="Q134" s="37"/>
      <c r="R134" s="103"/>
      <c r="Z134" s="1" t="s">
        <v>179</v>
      </c>
      <c r="AE134"/>
    </row>
    <row r="135" spans="1:31" s="4" customFormat="1" x14ac:dyDescent="0.25">
      <c r="B135" s="299" t="s">
        <v>196</v>
      </c>
      <c r="C135" s="300">
        <v>8684</v>
      </c>
      <c r="D135" s="300">
        <v>11001</v>
      </c>
      <c r="E135" s="300">
        <v>16289</v>
      </c>
      <c r="F135" s="300">
        <v>12024</v>
      </c>
      <c r="G135" s="304">
        <f>IFERROR(F135/E135-1,"-")</f>
        <v>-0.261833138928111</v>
      </c>
      <c r="H135" s="300">
        <f t="shared" ref="H135:H138" si="14">F135-E135</f>
        <v>-4265</v>
      </c>
      <c r="I135" s="302">
        <f>F135/F$134</f>
        <v>1</v>
      </c>
      <c r="J135" s="300">
        <v>11877</v>
      </c>
      <c r="K135" s="301">
        <f t="shared" ref="K135:K138" si="15">J135/J$134</f>
        <v>1</v>
      </c>
      <c r="L135" s="302">
        <f t="shared" ref="L135:L138" si="16">J135/F135-1</f>
        <v>-1.2225548902195627E-2</v>
      </c>
      <c r="M135" s="303">
        <f t="shared" ref="M135:M138" si="17">J135-F135</f>
        <v>-147</v>
      </c>
      <c r="N135" s="301">
        <f t="shared" ref="N135:N138" si="18">J135/D135-1</f>
        <v>7.962912462503402E-2</v>
      </c>
      <c r="O135" s="300">
        <f t="shared" ref="O135:O138" si="19">J135-D135</f>
        <v>876</v>
      </c>
      <c r="Q135" s="37"/>
      <c r="R135" s="103"/>
      <c r="Z135" s="1" t="s">
        <v>181</v>
      </c>
    </row>
    <row r="136" spans="1:31" s="4" customFormat="1" x14ac:dyDescent="0.25">
      <c r="B136" s="123" t="s">
        <v>64</v>
      </c>
      <c r="C136" s="306">
        <v>0</v>
      </c>
      <c r="D136" s="306">
        <v>0</v>
      </c>
      <c r="E136" s="306">
        <v>2928</v>
      </c>
      <c r="F136" s="306">
        <v>3814</v>
      </c>
      <c r="G136" s="310">
        <f t="shared" ref="G136:G138" si="20">IFERROR(F136/E136-1,"-")</f>
        <v>0.30259562841530063</v>
      </c>
      <c r="H136" s="306">
        <f t="shared" si="14"/>
        <v>886</v>
      </c>
      <c r="I136" s="314">
        <f t="shared" ref="I136:I138" si="21">F136/F$134</f>
        <v>0.31719893546240852</v>
      </c>
      <c r="J136" s="306">
        <v>4202</v>
      </c>
      <c r="K136" s="312">
        <f t="shared" si="15"/>
        <v>0.35379304538183043</v>
      </c>
      <c r="L136" s="314">
        <f t="shared" si="16"/>
        <v>0.10173046670162567</v>
      </c>
      <c r="M136" s="313">
        <f t="shared" si="17"/>
        <v>388</v>
      </c>
      <c r="N136" s="312" t="e">
        <f t="shared" si="18"/>
        <v>#DIV/0!</v>
      </c>
      <c r="O136" s="306">
        <f t="shared" si="19"/>
        <v>4202</v>
      </c>
      <c r="Q136" s="37"/>
      <c r="R136" s="103"/>
      <c r="Z136" s="1"/>
    </row>
    <row r="137" spans="1:31" s="4" customFormat="1" x14ac:dyDescent="0.25">
      <c r="B137" s="123" t="s">
        <v>63</v>
      </c>
      <c r="C137" s="306">
        <v>0</v>
      </c>
      <c r="D137" s="306">
        <v>0</v>
      </c>
      <c r="E137" s="306">
        <v>13361</v>
      </c>
      <c r="F137" s="306">
        <v>8210</v>
      </c>
      <c r="G137" s="308">
        <f t="shared" si="20"/>
        <v>-0.38552503555123119</v>
      </c>
      <c r="H137" s="306">
        <f t="shared" si="14"/>
        <v>-5151</v>
      </c>
      <c r="I137" s="318">
        <f t="shared" si="21"/>
        <v>0.68280106453759148</v>
      </c>
      <c r="J137" s="306">
        <v>7675</v>
      </c>
      <c r="K137" s="312">
        <f t="shared" si="15"/>
        <v>0.64620695461816957</v>
      </c>
      <c r="L137" s="314">
        <f t="shared" si="16"/>
        <v>-6.5164433617539541E-2</v>
      </c>
      <c r="M137" s="313">
        <f t="shared" si="17"/>
        <v>-535</v>
      </c>
      <c r="N137" s="312" t="e">
        <f t="shared" si="18"/>
        <v>#DIV/0!</v>
      </c>
      <c r="O137" s="306">
        <f t="shared" si="19"/>
        <v>7675</v>
      </c>
      <c r="Q137" s="37"/>
      <c r="R137" s="103"/>
      <c r="Z137" s="1"/>
    </row>
    <row r="138" spans="1:31" s="4" customFormat="1" x14ac:dyDescent="0.25">
      <c r="B138" s="299" t="s">
        <v>197</v>
      </c>
      <c r="C138" s="300" t="e">
        <v>#REF!</v>
      </c>
      <c r="D138" s="300" t="e">
        <v>#REF!</v>
      </c>
      <c r="E138" s="300" t="e">
        <v>#REF!</v>
      </c>
      <c r="F138" s="300" t="e">
        <v>#REF!</v>
      </c>
      <c r="G138" s="304" t="str">
        <f t="shared" si="20"/>
        <v>-</v>
      </c>
      <c r="H138" s="300" t="e">
        <f t="shared" si="14"/>
        <v>#REF!</v>
      </c>
      <c r="I138" s="302" t="e">
        <f t="shared" si="21"/>
        <v>#REF!</v>
      </c>
      <c r="J138" s="300" t="e">
        <v>#REF!</v>
      </c>
      <c r="K138" s="301" t="e">
        <f t="shared" si="15"/>
        <v>#REF!</v>
      </c>
      <c r="L138" s="302" t="e">
        <f t="shared" si="16"/>
        <v>#REF!</v>
      </c>
      <c r="M138" s="303" t="e">
        <f t="shared" si="17"/>
        <v>#REF!</v>
      </c>
      <c r="N138" s="301" t="e">
        <f t="shared" si="18"/>
        <v>#REF!</v>
      </c>
      <c r="O138" s="300" t="e">
        <f t="shared" si="19"/>
        <v>#REF!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186</v>
      </c>
    </row>
    <row r="140" spans="1:31" s="4" customFormat="1" ht="32.25" customHeight="1" x14ac:dyDescent="0.25">
      <c r="B140" s="319" t="s">
        <v>200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188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2BD8B-EC77-4E36-946C-BFA1CF841946}">
  <sheetPr>
    <tabColor theme="4" tint="0.39997558519241921"/>
  </sheetPr>
  <dimension ref="A1:AE149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205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29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206</v>
      </c>
      <c r="C6" s="297">
        <v>408177</v>
      </c>
      <c r="D6" s="297">
        <v>686635</v>
      </c>
      <c r="E6" s="297">
        <v>883151</v>
      </c>
      <c r="F6" s="298">
        <f>E6/$E$6</f>
        <v>1</v>
      </c>
      <c r="G6" s="297">
        <v>913897</v>
      </c>
      <c r="H6" s="298">
        <f>G6/E6-1</f>
        <v>3.4813978583503769E-2</v>
      </c>
      <c r="I6" s="297">
        <f>G6-E6</f>
        <v>30746</v>
      </c>
      <c r="J6" s="298">
        <f>G6/$G$6</f>
        <v>1</v>
      </c>
      <c r="K6" s="297">
        <v>920763</v>
      </c>
      <c r="L6" s="298">
        <f>K6/G6-1</f>
        <v>7.512881648588321E-3</v>
      </c>
      <c r="M6" s="297">
        <f>K6-G6</f>
        <v>6866</v>
      </c>
      <c r="N6" s="298">
        <f>K6/$K$6</f>
        <v>1</v>
      </c>
      <c r="O6" s="297">
        <v>935557</v>
      </c>
      <c r="P6" s="298">
        <f>O6/K6-1</f>
        <v>1.6067109560223392E-2</v>
      </c>
      <c r="Q6" s="297">
        <f>O6-K6</f>
        <v>14794</v>
      </c>
      <c r="R6" s="298">
        <f>IFERROR(O6/C6-1,"-")</f>
        <v>1.2920375229373531</v>
      </c>
      <c r="S6" s="297">
        <f>O6-C6</f>
        <v>527380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88" t="s">
        <v>46</v>
      </c>
      <c r="C7" s="306">
        <v>91009</v>
      </c>
      <c r="D7" s="306">
        <v>225060</v>
      </c>
      <c r="E7" s="306">
        <v>184306</v>
      </c>
      <c r="F7" s="312">
        <f t="shared" ref="F7:F16" si="0">E7/$E$6</f>
        <v>0.2086913789374637</v>
      </c>
      <c r="G7" s="306">
        <v>161501</v>
      </c>
      <c r="H7" s="314">
        <f>G7/E7-1</f>
        <v>-0.12373444163510683</v>
      </c>
      <c r="I7" s="313">
        <f>G7-E7</f>
        <v>-22805</v>
      </c>
      <c r="J7" s="312">
        <f>G7/$G$6</f>
        <v>0.17671685102369306</v>
      </c>
      <c r="K7" s="306">
        <v>142945</v>
      </c>
      <c r="L7" s="314">
        <f>K7/G7-1</f>
        <v>-0.11489712138005337</v>
      </c>
      <c r="M7" s="313">
        <f>K7-G7</f>
        <v>-18556</v>
      </c>
      <c r="N7" s="312">
        <f>K7/$K$6</f>
        <v>0.15524624686265628</v>
      </c>
      <c r="O7" s="306">
        <v>131048</v>
      </c>
      <c r="P7" s="314">
        <f>O7/K7-1</f>
        <v>-8.3227814893840235E-2</v>
      </c>
      <c r="Q7" s="313">
        <f>O7-K7</f>
        <v>-11897</v>
      </c>
      <c r="R7" s="314">
        <f t="shared" ref="R7:R16" si="1">IFERROR(O7/C7-1,"-")</f>
        <v>0.43994549989561471</v>
      </c>
      <c r="S7" s="313">
        <f t="shared" ref="S7:S16" si="2">O7-C7</f>
        <v>40039</v>
      </c>
      <c r="T7" s="312">
        <f>O7/$O$6</f>
        <v>0.1400748431148503</v>
      </c>
      <c r="V7" s="37"/>
      <c r="W7" s="103"/>
      <c r="AE7" s="1" t="s">
        <v>181</v>
      </c>
    </row>
    <row r="8" spans="1:31" s="4" customFormat="1" x14ac:dyDescent="0.25">
      <c r="B8" s="288" t="s">
        <v>47</v>
      </c>
      <c r="C8" s="306">
        <v>41966</v>
      </c>
      <c r="D8" s="306">
        <v>69889</v>
      </c>
      <c r="E8" s="306">
        <v>110023</v>
      </c>
      <c r="F8" s="312">
        <f t="shared" si="0"/>
        <v>0.12458005482641134</v>
      </c>
      <c r="G8" s="306">
        <v>104488</v>
      </c>
      <c r="H8" s="314">
        <f t="shared" ref="H8:H16" si="3">G8/E8-1</f>
        <v>-5.0307662943202769E-2</v>
      </c>
      <c r="I8" s="313">
        <f t="shared" ref="I8:I16" si="4">G8-E8</f>
        <v>-5535</v>
      </c>
      <c r="J8" s="312">
        <f t="shared" ref="J8:J16" si="5">G8/$G$6</f>
        <v>0.11433235911705586</v>
      </c>
      <c r="K8" s="306">
        <v>100942</v>
      </c>
      <c r="L8" s="314">
        <f t="shared" ref="L8:L16" si="6">K8/G8-1</f>
        <v>-3.3936911415664905E-2</v>
      </c>
      <c r="M8" s="313">
        <f t="shared" ref="M8:M16" si="7">K8-G8</f>
        <v>-3546</v>
      </c>
      <c r="N8" s="312">
        <f t="shared" ref="N8:N16" si="8">K8/$K$6</f>
        <v>0.10962864493903426</v>
      </c>
      <c r="O8" s="306">
        <v>103829</v>
      </c>
      <c r="P8" s="314">
        <f t="shared" ref="P8:P16" si="9">O8/K8-1</f>
        <v>2.8600582512730011E-2</v>
      </c>
      <c r="Q8" s="313">
        <f t="shared" ref="Q8:Q16" si="10">O8-K8</f>
        <v>2887</v>
      </c>
      <c r="R8" s="314">
        <f t="shared" si="1"/>
        <v>1.4741219082114094</v>
      </c>
      <c r="S8" s="313">
        <f t="shared" si="2"/>
        <v>61863</v>
      </c>
      <c r="T8" s="312">
        <f t="shared" ref="T8:T16" si="11">O8/$O$6</f>
        <v>0.11098094504129626</v>
      </c>
      <c r="V8" s="37"/>
      <c r="W8" s="103"/>
      <c r="AE8" s="1"/>
    </row>
    <row r="9" spans="1:31" s="4" customFormat="1" x14ac:dyDescent="0.25">
      <c r="B9" s="288" t="s">
        <v>48</v>
      </c>
      <c r="C9" s="306">
        <v>2244</v>
      </c>
      <c r="D9" s="306">
        <v>4565</v>
      </c>
      <c r="E9" s="306">
        <v>4856</v>
      </c>
      <c r="F9" s="307">
        <f t="shared" si="0"/>
        <v>5.4984934626128483E-3</v>
      </c>
      <c r="G9" s="306">
        <v>17500</v>
      </c>
      <c r="H9" s="318">
        <f t="shared" si="3"/>
        <v>2.603789126853377</v>
      </c>
      <c r="I9" s="309">
        <f t="shared" si="4"/>
        <v>12644</v>
      </c>
      <c r="J9" s="307">
        <f t="shared" si="5"/>
        <v>1.9148766217637218E-2</v>
      </c>
      <c r="K9" s="306">
        <v>9811</v>
      </c>
      <c r="L9" s="314">
        <f t="shared" si="6"/>
        <v>-0.43937142857142852</v>
      </c>
      <c r="M9" s="313">
        <f t="shared" si="7"/>
        <v>-7689</v>
      </c>
      <c r="N9" s="312">
        <f t="shared" si="8"/>
        <v>1.0655293490290117E-2</v>
      </c>
      <c r="O9" s="306">
        <v>8209</v>
      </c>
      <c r="P9" s="314">
        <f t="shared" si="9"/>
        <v>-0.16328610743043526</v>
      </c>
      <c r="Q9" s="313">
        <f t="shared" si="10"/>
        <v>-1602</v>
      </c>
      <c r="R9" s="314">
        <f t="shared" si="1"/>
        <v>2.6581996434937611</v>
      </c>
      <c r="S9" s="313">
        <f t="shared" si="2"/>
        <v>5965</v>
      </c>
      <c r="T9" s="312">
        <f t="shared" si="11"/>
        <v>8.7744520109410765E-3</v>
      </c>
      <c r="V9" s="37"/>
      <c r="W9" s="103"/>
      <c r="AE9" s="1"/>
    </row>
    <row r="10" spans="1:31" s="4" customFormat="1" x14ac:dyDescent="0.25">
      <c r="B10" s="288" t="s">
        <v>50</v>
      </c>
      <c r="C10" s="306">
        <v>85786</v>
      </c>
      <c r="D10" s="306">
        <v>151359</v>
      </c>
      <c r="E10" s="306">
        <v>297779</v>
      </c>
      <c r="F10" s="312">
        <f t="shared" si="0"/>
        <v>0.33717790049493235</v>
      </c>
      <c r="G10" s="306">
        <v>304437</v>
      </c>
      <c r="H10" s="314">
        <f t="shared" si="3"/>
        <v>2.2358863452426103E-2</v>
      </c>
      <c r="I10" s="313">
        <f t="shared" si="4"/>
        <v>6658</v>
      </c>
      <c r="J10" s="312">
        <f t="shared" si="5"/>
        <v>0.3331195966285041</v>
      </c>
      <c r="K10" s="306">
        <v>336795</v>
      </c>
      <c r="L10" s="314">
        <f t="shared" si="6"/>
        <v>0.10628800047300424</v>
      </c>
      <c r="M10" s="313">
        <f t="shared" si="7"/>
        <v>32358</v>
      </c>
      <c r="N10" s="312">
        <f t="shared" si="8"/>
        <v>0.36577816441364391</v>
      </c>
      <c r="O10" s="306">
        <v>353464</v>
      </c>
      <c r="P10" s="314">
        <f t="shared" si="9"/>
        <v>4.9493015038821753E-2</v>
      </c>
      <c r="Q10" s="313">
        <f t="shared" si="10"/>
        <v>16669</v>
      </c>
      <c r="R10" s="314">
        <f t="shared" si="1"/>
        <v>3.1202993495442151</v>
      </c>
      <c r="S10" s="313">
        <f t="shared" si="2"/>
        <v>267678</v>
      </c>
      <c r="T10" s="312">
        <f>O10/$O$6</f>
        <v>0.37781129316546186</v>
      </c>
      <c r="V10" s="37"/>
      <c r="W10" s="103"/>
      <c r="AE10" s="1"/>
    </row>
    <row r="11" spans="1:31" s="4" customFormat="1" x14ac:dyDescent="0.25">
      <c r="B11" s="288" t="s">
        <v>52</v>
      </c>
      <c r="C11" s="306">
        <v>26699</v>
      </c>
      <c r="D11" s="306">
        <v>39694</v>
      </c>
      <c r="E11" s="306">
        <v>42099</v>
      </c>
      <c r="F11" s="307">
        <f t="shared" si="0"/>
        <v>4.7669084901675929E-2</v>
      </c>
      <c r="G11" s="306">
        <v>49296</v>
      </c>
      <c r="H11" s="318">
        <f t="shared" si="3"/>
        <v>0.17095417943419089</v>
      </c>
      <c r="I11" s="309">
        <f t="shared" si="4"/>
        <v>7197</v>
      </c>
      <c r="J11" s="307">
        <f t="shared" si="5"/>
        <v>5.3940433112265387E-2</v>
      </c>
      <c r="K11" s="306">
        <v>44255</v>
      </c>
      <c r="L11" s="314">
        <f t="shared" si="6"/>
        <v>-0.10225981824083086</v>
      </c>
      <c r="M11" s="313">
        <f t="shared" si="7"/>
        <v>-5041</v>
      </c>
      <c r="N11" s="312">
        <f t="shared" si="8"/>
        <v>4.8063399593597921E-2</v>
      </c>
      <c r="O11" s="306">
        <v>47009</v>
      </c>
      <c r="P11" s="314">
        <f t="shared" si="9"/>
        <v>6.2230256468195577E-2</v>
      </c>
      <c r="Q11" s="313">
        <f t="shared" si="10"/>
        <v>2754</v>
      </c>
      <c r="R11" s="314">
        <f t="shared" si="1"/>
        <v>0.76070264803925247</v>
      </c>
      <c r="S11" s="313">
        <f t="shared" si="2"/>
        <v>20310</v>
      </c>
      <c r="T11" s="312">
        <f t="shared" si="11"/>
        <v>5.0247072065090638E-2</v>
      </c>
      <c r="V11" s="37"/>
      <c r="W11" s="103"/>
      <c r="AE11" s="1"/>
    </row>
    <row r="12" spans="1:31" s="4" customFormat="1" x14ac:dyDescent="0.25">
      <c r="B12" s="288" t="s">
        <v>53</v>
      </c>
      <c r="C12" s="306">
        <v>43048</v>
      </c>
      <c r="D12" s="306">
        <v>81482</v>
      </c>
      <c r="E12" s="306">
        <v>110405</v>
      </c>
      <c r="F12" s="312">
        <f t="shared" si="0"/>
        <v>0.12501259693982117</v>
      </c>
      <c r="G12" s="306">
        <v>122286</v>
      </c>
      <c r="H12" s="314">
        <f t="shared" si="3"/>
        <v>0.10761287985145596</v>
      </c>
      <c r="I12" s="313">
        <f t="shared" si="4"/>
        <v>11881</v>
      </c>
      <c r="J12" s="312">
        <f t="shared" si="5"/>
        <v>0.13380720146799913</v>
      </c>
      <c r="K12" s="306">
        <v>128586</v>
      </c>
      <c r="L12" s="314">
        <f t="shared" si="6"/>
        <v>5.1518571218291509E-2</v>
      </c>
      <c r="M12" s="313">
        <f t="shared" si="7"/>
        <v>6300</v>
      </c>
      <c r="N12" s="312">
        <f t="shared" si="8"/>
        <v>0.13965157157705077</v>
      </c>
      <c r="O12" s="306">
        <v>148985</v>
      </c>
      <c r="P12" s="314">
        <f t="shared" si="9"/>
        <v>0.15864090958580257</v>
      </c>
      <c r="Q12" s="313">
        <f t="shared" si="10"/>
        <v>20399</v>
      </c>
      <c r="R12" s="314">
        <f t="shared" si="1"/>
        <v>2.4609041070433006</v>
      </c>
      <c r="S12" s="313">
        <f t="shared" si="2"/>
        <v>105937</v>
      </c>
      <c r="T12" s="312">
        <f t="shared" si="11"/>
        <v>0.15924737883421319</v>
      </c>
      <c r="V12" s="37"/>
      <c r="W12" s="103"/>
      <c r="AE12" s="1"/>
    </row>
    <row r="13" spans="1:31" s="4" customFormat="1" x14ac:dyDescent="0.25">
      <c r="B13" s="288" t="s">
        <v>51</v>
      </c>
      <c r="C13" s="306">
        <v>12382</v>
      </c>
      <c r="D13" s="306">
        <v>16085</v>
      </c>
      <c r="E13" s="306">
        <v>27294</v>
      </c>
      <c r="F13" s="307">
        <f t="shared" si="0"/>
        <v>3.0905247234051709E-2</v>
      </c>
      <c r="G13" s="306">
        <v>32685</v>
      </c>
      <c r="H13" s="318">
        <f t="shared" si="3"/>
        <v>0.19751593756869634</v>
      </c>
      <c r="I13" s="309">
        <f t="shared" si="4"/>
        <v>5391</v>
      </c>
      <c r="J13" s="307">
        <f t="shared" si="5"/>
        <v>3.5764424218484137E-2</v>
      </c>
      <c r="K13" s="306">
        <v>29315</v>
      </c>
      <c r="L13" s="314">
        <f t="shared" si="6"/>
        <v>-0.1031054000305951</v>
      </c>
      <c r="M13" s="313">
        <f t="shared" si="7"/>
        <v>-3370</v>
      </c>
      <c r="N13" s="312">
        <f t="shared" si="8"/>
        <v>3.1837725886031475E-2</v>
      </c>
      <c r="O13" s="306">
        <v>29490</v>
      </c>
      <c r="P13" s="314">
        <f t="shared" si="9"/>
        <v>5.969640115981667E-3</v>
      </c>
      <c r="Q13" s="313">
        <f t="shared" si="10"/>
        <v>175</v>
      </c>
      <c r="R13" s="314">
        <f t="shared" si="1"/>
        <v>1.3816830883540625</v>
      </c>
      <c r="S13" s="313">
        <f t="shared" si="2"/>
        <v>17108</v>
      </c>
      <c r="T13" s="312">
        <f t="shared" si="11"/>
        <v>3.1521329005073984E-2</v>
      </c>
      <c r="V13" s="37"/>
      <c r="W13" s="103"/>
      <c r="AE13" s="1"/>
    </row>
    <row r="14" spans="1:31" s="4" customFormat="1" x14ac:dyDescent="0.25">
      <c r="B14" s="288" t="s">
        <v>54</v>
      </c>
      <c r="C14" s="306">
        <v>18408</v>
      </c>
      <c r="D14" s="306">
        <v>41930</v>
      </c>
      <c r="E14" s="306">
        <v>26151</v>
      </c>
      <c r="F14" s="312">
        <f t="shared" si="0"/>
        <v>2.9611017821414457E-2</v>
      </c>
      <c r="G14" s="306">
        <v>28851</v>
      </c>
      <c r="H14" s="314">
        <f t="shared" si="3"/>
        <v>0.10324652976941606</v>
      </c>
      <c r="I14" s="313">
        <f t="shared" si="4"/>
        <v>2700</v>
      </c>
      <c r="J14" s="312">
        <f t="shared" si="5"/>
        <v>3.1569203094002934E-2</v>
      </c>
      <c r="K14" s="306">
        <v>26485</v>
      </c>
      <c r="L14" s="314">
        <f t="shared" si="6"/>
        <v>-8.2007556063914633E-2</v>
      </c>
      <c r="M14" s="313">
        <f t="shared" si="7"/>
        <v>-2366</v>
      </c>
      <c r="N14" s="312">
        <f t="shared" si="8"/>
        <v>2.8764187961505837E-2</v>
      </c>
      <c r="O14" s="306">
        <v>29464</v>
      </c>
      <c r="P14" s="314">
        <f t="shared" si="9"/>
        <v>0.11247876156314884</v>
      </c>
      <c r="Q14" s="313">
        <f t="shared" si="10"/>
        <v>2979</v>
      </c>
      <c r="R14" s="314">
        <f t="shared" si="1"/>
        <v>0.60060843111690576</v>
      </c>
      <c r="S14" s="313">
        <f t="shared" si="2"/>
        <v>11056</v>
      </c>
      <c r="T14" s="312">
        <f t="shared" si="11"/>
        <v>3.1493538074109859E-2</v>
      </c>
      <c r="V14" s="37"/>
      <c r="W14" s="103"/>
      <c r="AE14" s="1"/>
    </row>
    <row r="15" spans="1:31" s="4" customFormat="1" x14ac:dyDescent="0.25">
      <c r="B15" s="288" t="s">
        <v>49</v>
      </c>
      <c r="C15" s="306">
        <v>20131</v>
      </c>
      <c r="D15" s="306">
        <v>23891</v>
      </c>
      <c r="E15" s="306">
        <v>30651</v>
      </c>
      <c r="F15" s="307">
        <f t="shared" si="0"/>
        <v>3.4706409209750086E-2</v>
      </c>
      <c r="G15" s="306">
        <v>40798</v>
      </c>
      <c r="H15" s="318">
        <f t="shared" si="3"/>
        <v>0.33104955792633195</v>
      </c>
      <c r="I15" s="309">
        <f t="shared" si="4"/>
        <v>10147</v>
      </c>
      <c r="J15" s="307">
        <f t="shared" si="5"/>
        <v>4.4641792236980754E-2</v>
      </c>
      <c r="K15" s="306">
        <v>53591</v>
      </c>
      <c r="L15" s="314">
        <f t="shared" si="6"/>
        <v>0.31356929261238298</v>
      </c>
      <c r="M15" s="313">
        <f t="shared" si="7"/>
        <v>12793</v>
      </c>
      <c r="N15" s="312">
        <f t="shared" si="8"/>
        <v>5.8202816577121369E-2</v>
      </c>
      <c r="O15" s="306">
        <v>36983</v>
      </c>
      <c r="P15" s="314">
        <f t="shared" si="9"/>
        <v>-0.30990278218357559</v>
      </c>
      <c r="Q15" s="313">
        <f t="shared" si="10"/>
        <v>-16608</v>
      </c>
      <c r="R15" s="314">
        <f t="shared" si="1"/>
        <v>0.83711688440713328</v>
      </c>
      <c r="S15" s="313">
        <f t="shared" si="2"/>
        <v>16852</v>
      </c>
      <c r="T15" s="312">
        <f t="shared" si="11"/>
        <v>3.9530461532541576E-2</v>
      </c>
      <c r="V15" s="37"/>
      <c r="W15" s="103"/>
      <c r="AE15" s="1"/>
    </row>
    <row r="16" spans="1:31" s="4" customFormat="1" x14ac:dyDescent="0.25">
      <c r="B16" s="288" t="s">
        <v>207</v>
      </c>
      <c r="C16" s="306">
        <f>C6-SUM(C7:C15)</f>
        <v>66504</v>
      </c>
      <c r="D16" s="306">
        <f>D6-SUM(D7:D15)</f>
        <v>32680</v>
      </c>
      <c r="E16" s="306">
        <f>E6-SUM(E7:E15)</f>
        <v>49587</v>
      </c>
      <c r="F16" s="312">
        <f t="shared" si="0"/>
        <v>5.614781617186642E-2</v>
      </c>
      <c r="G16" s="306">
        <f>G6-SUM(G7:G15)</f>
        <v>52055</v>
      </c>
      <c r="H16" s="314">
        <f t="shared" si="3"/>
        <v>4.9771109363341282E-2</v>
      </c>
      <c r="I16" s="313">
        <f t="shared" si="4"/>
        <v>2468</v>
      </c>
      <c r="J16" s="312">
        <f t="shared" si="5"/>
        <v>5.6959372883377449E-2</v>
      </c>
      <c r="K16" s="306">
        <f>K6-SUM(K7:K15)</f>
        <v>48038</v>
      </c>
      <c r="L16" s="314">
        <f t="shared" si="6"/>
        <v>-7.7168379598501535E-2</v>
      </c>
      <c r="M16" s="313">
        <f t="shared" si="7"/>
        <v>-4017</v>
      </c>
      <c r="N16" s="312">
        <f t="shared" si="8"/>
        <v>5.2171948699068056E-2</v>
      </c>
      <c r="O16" s="306">
        <f>O6-SUM(O7:O15)</f>
        <v>47076</v>
      </c>
      <c r="P16" s="314">
        <f t="shared" si="9"/>
        <v>-2.002581289812233E-2</v>
      </c>
      <c r="Q16" s="313">
        <f t="shared" si="10"/>
        <v>-962</v>
      </c>
      <c r="R16" s="314">
        <f t="shared" si="1"/>
        <v>-0.29213280404186215</v>
      </c>
      <c r="S16" s="313">
        <f t="shared" si="2"/>
        <v>-19428</v>
      </c>
      <c r="T16" s="312">
        <f t="shared" si="11"/>
        <v>5.0318687156421252E-2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186</v>
      </c>
    </row>
    <row r="18" spans="2:31" s="4" customFormat="1" x14ac:dyDescent="0.25">
      <c r="B18" s="202" t="s">
        <v>187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188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189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190</v>
      </c>
      <c r="O44" s="15">
        <v>2021</v>
      </c>
      <c r="P44" s="15" t="s">
        <v>190</v>
      </c>
      <c r="Q44" s="15" t="s">
        <v>191</v>
      </c>
      <c r="R44" s="15" t="s">
        <v>192</v>
      </c>
      <c r="S44" s="15" t="s">
        <v>193</v>
      </c>
      <c r="T44" s="112"/>
      <c r="AE44" s="1"/>
    </row>
    <row r="45" spans="2:31" s="4" customFormat="1" ht="18.75" hidden="1" x14ac:dyDescent="0.3">
      <c r="B45" s="277" t="s">
        <v>177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178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179</v>
      </c>
    </row>
    <row r="47" spans="2:31" ht="15.75" hidden="1" x14ac:dyDescent="0.25">
      <c r="B47" s="280" t="s">
        <v>102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180</v>
      </c>
    </row>
    <row r="48" spans="2:31" s="4" customFormat="1" hidden="1" x14ac:dyDescent="0.25">
      <c r="B48" s="283" t="s">
        <v>105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181</v>
      </c>
    </row>
    <row r="49" spans="2:31" s="4" customFormat="1" hidden="1" x14ac:dyDescent="0.25">
      <c r="B49" s="288" t="s">
        <v>182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183</v>
      </c>
    </row>
    <row r="50" spans="2:31" s="4" customFormat="1" hidden="1" x14ac:dyDescent="0.25">
      <c r="B50" s="288" t="s">
        <v>184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185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186</v>
      </c>
    </row>
    <row r="52" spans="2:31" s="4" customFormat="1" hidden="1" x14ac:dyDescent="0.25">
      <c r="B52" s="66" t="s">
        <v>187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94"/>
      <c r="AE52" s="1" t="s">
        <v>188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5" t="s">
        <v>29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206</v>
      </c>
      <c r="C136" s="281">
        <v>456683</v>
      </c>
      <c r="D136" s="281">
        <v>800301</v>
      </c>
      <c r="E136" s="281">
        <v>1016781</v>
      </c>
      <c r="F136" s="281">
        <v>1041269</v>
      </c>
      <c r="G136" s="282">
        <f>F136/E136-1</f>
        <v>2.4083848931087504E-2</v>
      </c>
      <c r="H136" s="281">
        <f>F136-E136</f>
        <v>24488</v>
      </c>
      <c r="I136" s="282">
        <f>F136/F$136</f>
        <v>1</v>
      </c>
      <c r="J136" s="281">
        <v>1058434</v>
      </c>
      <c r="K136" s="282">
        <f>H136/H$136</f>
        <v>1</v>
      </c>
      <c r="L136" s="282">
        <f>J136/F136-1</f>
        <v>1.6484693196474609E-2</v>
      </c>
      <c r="M136" s="281">
        <f>J136-F136</f>
        <v>17165</v>
      </c>
      <c r="N136" s="282">
        <f>J136/C136-1</f>
        <v>1.3176557918731375</v>
      </c>
      <c r="O136" s="281">
        <f>J136-C136</f>
        <v>601751</v>
      </c>
      <c r="Q136" s="37"/>
      <c r="R136" s="103"/>
      <c r="Z136" s="1" t="s">
        <v>179</v>
      </c>
      <c r="AE136"/>
    </row>
    <row r="137" spans="1:31" s="4" customFormat="1" x14ac:dyDescent="0.25">
      <c r="B137" s="288" t="s">
        <v>46</v>
      </c>
      <c r="C137" s="306">
        <v>117997</v>
      </c>
      <c r="D137" s="306">
        <v>247584</v>
      </c>
      <c r="E137" s="306">
        <v>207208</v>
      </c>
      <c r="F137" s="306">
        <v>181512</v>
      </c>
      <c r="G137" s="312">
        <f t="shared" ref="G137:G146" si="12">F137/E137-1</f>
        <v>-0.12401065595922933</v>
      </c>
      <c r="H137" s="320">
        <f t="shared" ref="H137:H146" si="13">F137-E137</f>
        <v>-25696</v>
      </c>
      <c r="I137" s="314">
        <f t="shared" ref="I137:K146" si="14">F137/F$136</f>
        <v>0.17431806766551197</v>
      </c>
      <c r="J137" s="306">
        <v>161819</v>
      </c>
      <c r="K137" s="314">
        <f t="shared" si="14"/>
        <v>-1.049330284220843</v>
      </c>
      <c r="L137" s="314">
        <f t="shared" ref="L137:L146" si="15">J137/F137-1</f>
        <v>-0.10849420423994005</v>
      </c>
      <c r="M137" s="313">
        <f t="shared" ref="M137:M146" si="16">J137-F137</f>
        <v>-19693</v>
      </c>
      <c r="N137" s="312">
        <f t="shared" ref="N137:N146" si="17">J137/C137-1</f>
        <v>0.37138232327940535</v>
      </c>
      <c r="O137" s="306">
        <f t="shared" ref="O137:O146" si="18">J137-C137</f>
        <v>43822</v>
      </c>
      <c r="Q137" s="37"/>
      <c r="R137" s="103"/>
      <c r="Z137" s="1" t="s">
        <v>181</v>
      </c>
    </row>
    <row r="138" spans="1:31" s="4" customFormat="1" x14ac:dyDescent="0.25">
      <c r="B138" s="288" t="s">
        <v>47</v>
      </c>
      <c r="C138" s="306">
        <v>51760</v>
      </c>
      <c r="D138" s="306">
        <v>83468</v>
      </c>
      <c r="E138" s="306">
        <v>123951</v>
      </c>
      <c r="F138" s="306">
        <v>118966</v>
      </c>
      <c r="G138" s="312">
        <f t="shared" si="12"/>
        <v>-4.0217505304515511E-2</v>
      </c>
      <c r="H138" s="320">
        <f t="shared" si="13"/>
        <v>-4985</v>
      </c>
      <c r="I138" s="314">
        <f t="shared" si="14"/>
        <v>0.1142509764527706</v>
      </c>
      <c r="J138" s="306">
        <v>114660</v>
      </c>
      <c r="K138" s="314">
        <f t="shared" si="14"/>
        <v>-0.20356909506697157</v>
      </c>
      <c r="L138" s="314">
        <f t="shared" si="15"/>
        <v>-3.6195215439705497E-2</v>
      </c>
      <c r="M138" s="313">
        <f t="shared" si="16"/>
        <v>-4306</v>
      </c>
      <c r="N138" s="312">
        <f t="shared" si="17"/>
        <v>1.2152241112828439</v>
      </c>
      <c r="O138" s="306">
        <f t="shared" si="18"/>
        <v>62900</v>
      </c>
      <c r="Q138" s="37"/>
      <c r="R138" s="103"/>
      <c r="Z138" s="1"/>
    </row>
    <row r="139" spans="1:31" s="4" customFormat="1" x14ac:dyDescent="0.25">
      <c r="B139" s="288" t="s">
        <v>48</v>
      </c>
      <c r="C139" s="306">
        <v>2339</v>
      </c>
      <c r="D139" s="306">
        <v>4950</v>
      </c>
      <c r="E139" s="306">
        <v>6762</v>
      </c>
      <c r="F139" s="306">
        <v>20250</v>
      </c>
      <c r="G139" s="312">
        <f t="shared" si="12"/>
        <v>1.9946761313220942</v>
      </c>
      <c r="H139" s="320">
        <f t="shared" si="13"/>
        <v>13488</v>
      </c>
      <c r="I139" s="314">
        <f t="shared" si="14"/>
        <v>1.9447424248681178E-2</v>
      </c>
      <c r="J139" s="306">
        <v>11054</v>
      </c>
      <c r="K139" s="318">
        <f t="shared" si="14"/>
        <v>0.55080039202874875</v>
      </c>
      <c r="L139" s="314">
        <f t="shared" si="15"/>
        <v>-0.45412345679012345</v>
      </c>
      <c r="M139" s="313">
        <f t="shared" si="16"/>
        <v>-9196</v>
      </c>
      <c r="N139" s="312">
        <f t="shared" si="17"/>
        <v>3.725951261222745</v>
      </c>
      <c r="O139" s="306">
        <f t="shared" si="18"/>
        <v>8715</v>
      </c>
      <c r="Q139" s="37"/>
      <c r="R139" s="103"/>
      <c r="Z139" s="1"/>
    </row>
    <row r="140" spans="1:31" s="4" customFormat="1" x14ac:dyDescent="0.25">
      <c r="B140" s="288" t="s">
        <v>50</v>
      </c>
      <c r="C140" s="306">
        <v>103133</v>
      </c>
      <c r="D140" s="306">
        <v>181693</v>
      </c>
      <c r="E140" s="306">
        <v>342343</v>
      </c>
      <c r="F140" s="306">
        <v>341923</v>
      </c>
      <c r="G140" s="312">
        <f t="shared" si="12"/>
        <v>-1.2268397484394011E-3</v>
      </c>
      <c r="H140" s="320">
        <f t="shared" si="13"/>
        <v>-420</v>
      </c>
      <c r="I140" s="314">
        <f t="shared" si="14"/>
        <v>0.32837143908058342</v>
      </c>
      <c r="J140" s="306">
        <v>382237</v>
      </c>
      <c r="K140" s="314">
        <f t="shared" si="14"/>
        <v>-1.7151257758902319E-2</v>
      </c>
      <c r="L140" s="314">
        <f t="shared" si="15"/>
        <v>0.1179037385610211</v>
      </c>
      <c r="M140" s="313">
        <f t="shared" si="16"/>
        <v>40314</v>
      </c>
      <c r="N140" s="312">
        <f t="shared" si="17"/>
        <v>2.7062530906693301</v>
      </c>
      <c r="O140" s="306">
        <f t="shared" si="18"/>
        <v>279104</v>
      </c>
      <c r="Q140" s="37"/>
      <c r="R140" s="103"/>
      <c r="Z140" s="1"/>
    </row>
    <row r="141" spans="1:31" s="4" customFormat="1" x14ac:dyDescent="0.25">
      <c r="B141" s="288" t="s">
        <v>52</v>
      </c>
      <c r="C141" s="306">
        <v>30584</v>
      </c>
      <c r="D141" s="306">
        <v>44398</v>
      </c>
      <c r="E141" s="306">
        <v>48630</v>
      </c>
      <c r="F141" s="306">
        <v>55684</v>
      </c>
      <c r="G141" s="312">
        <f t="shared" si="12"/>
        <v>0.14505449311124829</v>
      </c>
      <c r="H141" s="320">
        <f t="shared" si="13"/>
        <v>7054</v>
      </c>
      <c r="I141" s="314">
        <f t="shared" si="14"/>
        <v>5.3477055400669757E-2</v>
      </c>
      <c r="J141" s="306">
        <v>49807</v>
      </c>
      <c r="K141" s="318">
        <f t="shared" si="14"/>
        <v>0.28805945769356417</v>
      </c>
      <c r="L141" s="314">
        <f t="shared" si="15"/>
        <v>-0.10554198692622652</v>
      </c>
      <c r="M141" s="313">
        <f t="shared" si="16"/>
        <v>-5877</v>
      </c>
      <c r="N141" s="312">
        <f t="shared" si="17"/>
        <v>0.62853125817420863</v>
      </c>
      <c r="O141" s="306">
        <f t="shared" si="18"/>
        <v>19223</v>
      </c>
      <c r="Q141" s="37"/>
      <c r="R141" s="103"/>
      <c r="Z141" s="1"/>
    </row>
    <row r="142" spans="1:31" s="4" customFormat="1" x14ac:dyDescent="0.25">
      <c r="B142" s="288" t="s">
        <v>53</v>
      </c>
      <c r="C142" s="306">
        <v>61571</v>
      </c>
      <c r="D142" s="306">
        <v>104557</v>
      </c>
      <c r="E142" s="306">
        <v>134886</v>
      </c>
      <c r="F142" s="306">
        <v>146430</v>
      </c>
      <c r="G142" s="312">
        <f t="shared" si="12"/>
        <v>8.5583381522174262E-2</v>
      </c>
      <c r="H142" s="320">
        <f t="shared" si="13"/>
        <v>11544</v>
      </c>
      <c r="I142" s="314">
        <f t="shared" si="14"/>
        <v>0.14062648556713012</v>
      </c>
      <c r="J142" s="306">
        <v>156566</v>
      </c>
      <c r="K142" s="314">
        <f t="shared" si="14"/>
        <v>0.47141457040182949</v>
      </c>
      <c r="L142" s="314">
        <f t="shared" si="15"/>
        <v>6.9220788089872309E-2</v>
      </c>
      <c r="M142" s="313">
        <f t="shared" si="16"/>
        <v>10136</v>
      </c>
      <c r="N142" s="312">
        <f t="shared" si="17"/>
        <v>1.5428529664939665</v>
      </c>
      <c r="O142" s="306">
        <f t="shared" si="18"/>
        <v>94995</v>
      </c>
      <c r="Q142" s="37"/>
      <c r="R142" s="103"/>
      <c r="Z142" s="1"/>
    </row>
    <row r="143" spans="1:31" s="4" customFormat="1" x14ac:dyDescent="0.25">
      <c r="B143" s="288" t="s">
        <v>51</v>
      </c>
      <c r="C143" s="306">
        <v>16023</v>
      </c>
      <c r="D143" s="306">
        <v>21732</v>
      </c>
      <c r="E143" s="306">
        <v>33809</v>
      </c>
      <c r="F143" s="306">
        <v>37722</v>
      </c>
      <c r="G143" s="312">
        <f t="shared" si="12"/>
        <v>0.11573841284864983</v>
      </c>
      <c r="H143" s="320">
        <f t="shared" si="13"/>
        <v>3913</v>
      </c>
      <c r="I143" s="314">
        <f t="shared" si="14"/>
        <v>3.6226950000432162E-2</v>
      </c>
      <c r="J143" s="306">
        <v>35821</v>
      </c>
      <c r="K143" s="318">
        <f t="shared" si="14"/>
        <v>0.15979255145377327</v>
      </c>
      <c r="L143" s="314">
        <f t="shared" si="15"/>
        <v>-5.0394994963151474E-2</v>
      </c>
      <c r="M143" s="313">
        <f t="shared" si="16"/>
        <v>-1901</v>
      </c>
      <c r="N143" s="312">
        <f t="shared" si="17"/>
        <v>1.2355988266866378</v>
      </c>
      <c r="O143" s="306">
        <f t="shared" si="18"/>
        <v>19798</v>
      </c>
      <c r="Q143" s="37"/>
      <c r="R143" s="103"/>
      <c r="Z143" s="1"/>
    </row>
    <row r="144" spans="1:31" s="4" customFormat="1" x14ac:dyDescent="0.25">
      <c r="B144" s="288" t="s">
        <v>54</v>
      </c>
      <c r="C144" s="306">
        <v>26839</v>
      </c>
      <c r="D144" s="306">
        <v>45216</v>
      </c>
      <c r="E144" s="306">
        <v>29061</v>
      </c>
      <c r="F144" s="306">
        <v>32018</v>
      </c>
      <c r="G144" s="312">
        <f t="shared" si="12"/>
        <v>0.10175148824885594</v>
      </c>
      <c r="H144" s="320">
        <f t="shared" si="13"/>
        <v>2957</v>
      </c>
      <c r="I144" s="314">
        <f t="shared" si="14"/>
        <v>3.0749018745396241E-2</v>
      </c>
      <c r="J144" s="306">
        <v>29188</v>
      </c>
      <c r="K144" s="314">
        <f t="shared" si="14"/>
        <v>0.12075302188827181</v>
      </c>
      <c r="L144" s="314">
        <f t="shared" si="15"/>
        <v>-8.838778187269658E-2</v>
      </c>
      <c r="M144" s="313">
        <f t="shared" si="16"/>
        <v>-2830</v>
      </c>
      <c r="N144" s="312">
        <f t="shared" si="17"/>
        <v>8.752188978724984E-2</v>
      </c>
      <c r="O144" s="306">
        <f t="shared" si="18"/>
        <v>2349</v>
      </c>
      <c r="Q144" s="37"/>
      <c r="R144" s="103"/>
      <c r="Z144" s="1"/>
    </row>
    <row r="145" spans="2:31" s="4" customFormat="1" x14ac:dyDescent="0.25">
      <c r="B145" s="288" t="s">
        <v>49</v>
      </c>
      <c r="C145" s="306">
        <v>24273</v>
      </c>
      <c r="D145" s="306">
        <v>26311</v>
      </c>
      <c r="E145" s="306">
        <v>32375</v>
      </c>
      <c r="F145" s="306">
        <v>47068</v>
      </c>
      <c r="G145" s="312">
        <f t="shared" si="12"/>
        <v>0.45383783783783782</v>
      </c>
      <c r="H145" s="320">
        <f t="shared" si="13"/>
        <v>14693</v>
      </c>
      <c r="I145" s="314">
        <f t="shared" si="14"/>
        <v>4.5202536520342007E-2</v>
      </c>
      <c r="J145" s="306">
        <v>61312</v>
      </c>
      <c r="K145" s="318">
        <f t="shared" si="14"/>
        <v>0.60000816726559947</v>
      </c>
      <c r="L145" s="314">
        <f t="shared" si="15"/>
        <v>0.30262598793235318</v>
      </c>
      <c r="M145" s="313">
        <f t="shared" si="16"/>
        <v>14244</v>
      </c>
      <c r="N145" s="312">
        <f t="shared" si="17"/>
        <v>1.5259341655337204</v>
      </c>
      <c r="O145" s="306">
        <f t="shared" si="18"/>
        <v>37039</v>
      </c>
      <c r="Q145" s="37"/>
      <c r="R145" s="103"/>
      <c r="Z145" s="1"/>
    </row>
    <row r="146" spans="2:31" s="4" customFormat="1" x14ac:dyDescent="0.25">
      <c r="B146" s="288" t="s">
        <v>207</v>
      </c>
      <c r="C146" s="306">
        <f>C136-SUM(C137:C145)</f>
        <v>22164</v>
      </c>
      <c r="D146" s="306">
        <f>D136-SUM(D137:D145)</f>
        <v>40392</v>
      </c>
      <c r="E146" s="306">
        <f>E136-SUM(E137:E145)</f>
        <v>57756</v>
      </c>
      <c r="F146" s="306">
        <f>F136-SUM(F137:F145)</f>
        <v>59696</v>
      </c>
      <c r="G146" s="312">
        <f t="shared" si="12"/>
        <v>3.3589583766188813E-2</v>
      </c>
      <c r="H146" s="320">
        <f t="shared" si="13"/>
        <v>1940</v>
      </c>
      <c r="I146" s="314">
        <f t="shared" si="14"/>
        <v>5.7330046318482542E-2</v>
      </c>
      <c r="J146" s="306">
        <f>J136-SUM(J137:J145)</f>
        <v>55970</v>
      </c>
      <c r="K146" s="314">
        <f t="shared" si="14"/>
        <v>7.9222476314929763E-2</v>
      </c>
      <c r="L146" s="314">
        <f t="shared" si="15"/>
        <v>-6.2416242294291102E-2</v>
      </c>
      <c r="M146" s="313">
        <f t="shared" si="16"/>
        <v>-3726</v>
      </c>
      <c r="N146" s="312">
        <f t="shared" si="17"/>
        <v>1.5252661974372859</v>
      </c>
      <c r="O146" s="306">
        <f t="shared" si="18"/>
        <v>33806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186</v>
      </c>
    </row>
    <row r="148" spans="2:31" s="4" customFormat="1" x14ac:dyDescent="0.25">
      <c r="B148" s="202" t="s">
        <v>187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188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E1D3E-0AB2-40DC-902E-E743BCF78893}">
  <sheetPr>
    <tabColor theme="4" tint="0.39997558519241921"/>
  </sheetPr>
  <dimension ref="A1:AE149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208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206</v>
      </c>
      <c r="C6" s="297">
        <v>228467</v>
      </c>
      <c r="D6" s="297">
        <v>321555</v>
      </c>
      <c r="E6" s="297">
        <v>508787</v>
      </c>
      <c r="F6" s="298">
        <f>E6/$E$6</f>
        <v>1</v>
      </c>
      <c r="G6" s="297">
        <v>532909</v>
      </c>
      <c r="H6" s="298">
        <f>G6/E6-1</f>
        <v>4.7410802555882814E-2</v>
      </c>
      <c r="I6" s="297">
        <f>G6-E6</f>
        <v>24122</v>
      </c>
      <c r="J6" s="298">
        <f>G6/$G$6</f>
        <v>1</v>
      </c>
      <c r="K6" s="297">
        <v>549555</v>
      </c>
      <c r="L6" s="298">
        <f>K6/G6-1</f>
        <v>3.1236102223831885E-2</v>
      </c>
      <c r="M6" s="297">
        <f>K6-G6</f>
        <v>16646</v>
      </c>
      <c r="N6" s="298">
        <f>K6/$K$6</f>
        <v>1</v>
      </c>
      <c r="O6" s="297">
        <v>563312</v>
      </c>
      <c r="P6" s="298">
        <f>O6/K6-1</f>
        <v>2.5032981230268092E-2</v>
      </c>
      <c r="Q6" s="297">
        <f>O6-K6</f>
        <v>13757</v>
      </c>
      <c r="R6" s="298">
        <f>IFERROR(O6/C6-1,"-")</f>
        <v>1.4656164785286276</v>
      </c>
      <c r="S6" s="297">
        <f>O6-C6</f>
        <v>334845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88" t="s">
        <v>46</v>
      </c>
      <c r="C7" s="306">
        <v>38835</v>
      </c>
      <c r="D7" s="306">
        <v>107446</v>
      </c>
      <c r="E7" s="306">
        <v>106093</v>
      </c>
      <c r="F7" s="312">
        <f t="shared" ref="F7:F16" si="0">E7/$E$6</f>
        <v>0.20852144414067184</v>
      </c>
      <c r="G7" s="306">
        <v>92954</v>
      </c>
      <c r="H7" s="314">
        <f>G7/E7-1</f>
        <v>-0.12384417445071771</v>
      </c>
      <c r="I7" s="313">
        <f>G7-E7</f>
        <v>-13139</v>
      </c>
      <c r="J7" s="312">
        <f>G7/$G$6</f>
        <v>0.1744275289026832</v>
      </c>
      <c r="K7" s="306">
        <v>88222</v>
      </c>
      <c r="L7" s="314">
        <f>K7/G7-1</f>
        <v>-5.0906900187189352E-2</v>
      </c>
      <c r="M7" s="313">
        <f>K7-G7</f>
        <v>-4732</v>
      </c>
      <c r="N7" s="312">
        <f>K7/$K$6</f>
        <v>0.16053352257735803</v>
      </c>
      <c r="O7" s="306">
        <v>69755</v>
      </c>
      <c r="P7" s="314">
        <f>O7/K7-1</f>
        <v>-0.20932420484686365</v>
      </c>
      <c r="Q7" s="313">
        <f>O7-K7</f>
        <v>-18467</v>
      </c>
      <c r="R7" s="314">
        <f t="shared" ref="R7:R16" si="1">IFERROR(O7/C7-1,"-")</f>
        <v>0.7961890047637441</v>
      </c>
      <c r="S7" s="313">
        <f t="shared" ref="S7:S16" si="2">O7-C7</f>
        <v>30920</v>
      </c>
      <c r="T7" s="312">
        <f>O7/$O$6</f>
        <v>0.12383013321214531</v>
      </c>
      <c r="V7" s="37"/>
      <c r="W7" s="103"/>
      <c r="AE7" s="1" t="s">
        <v>181</v>
      </c>
    </row>
    <row r="8" spans="1:31" s="4" customFormat="1" x14ac:dyDescent="0.25">
      <c r="B8" s="288" t="s">
        <v>47</v>
      </c>
      <c r="C8" s="306">
        <v>21414</v>
      </c>
      <c r="D8" s="306">
        <v>31177</v>
      </c>
      <c r="E8" s="306">
        <v>65553</v>
      </c>
      <c r="F8" s="312">
        <f t="shared" si="0"/>
        <v>0.12884173534308069</v>
      </c>
      <c r="G8" s="306">
        <v>58131</v>
      </c>
      <c r="H8" s="314">
        <f t="shared" ref="H8:H16" si="3">G8/E8-1</f>
        <v>-0.11322136286668805</v>
      </c>
      <c r="I8" s="313">
        <f t="shared" ref="I8:I16" si="4">G8-E8</f>
        <v>-7422</v>
      </c>
      <c r="J8" s="312">
        <f t="shared" ref="J8:J16" si="5">G8/$G$6</f>
        <v>0.1090824136953964</v>
      </c>
      <c r="K8" s="306">
        <v>55491</v>
      </c>
      <c r="L8" s="314">
        <f t="shared" ref="L8:L16" si="6">K8/G8-1</f>
        <v>-4.5414666873096921E-2</v>
      </c>
      <c r="M8" s="313">
        <f t="shared" ref="M8:M16" si="7">K8-G8</f>
        <v>-2640</v>
      </c>
      <c r="N8" s="312">
        <f t="shared" ref="N8:N16" si="8">K8/$K$6</f>
        <v>0.10097442476185277</v>
      </c>
      <c r="O8" s="306">
        <v>57774</v>
      </c>
      <c r="P8" s="314">
        <f t="shared" ref="P8:P16" si="9">O8/K8-1</f>
        <v>4.1141806779477763E-2</v>
      </c>
      <c r="Q8" s="313">
        <f t="shared" ref="Q8:Q16" si="10">O8-K8</f>
        <v>2283</v>
      </c>
      <c r="R8" s="314">
        <f t="shared" si="1"/>
        <v>1.6979546091342113</v>
      </c>
      <c r="S8" s="313">
        <f t="shared" si="2"/>
        <v>36360</v>
      </c>
      <c r="T8" s="312">
        <f t="shared" ref="T8:T16" si="11">O8/$O$6</f>
        <v>0.10256128042718778</v>
      </c>
      <c r="V8" s="37"/>
      <c r="W8" s="103"/>
      <c r="AE8" s="1"/>
    </row>
    <row r="9" spans="1:31" s="4" customFormat="1" x14ac:dyDescent="0.25">
      <c r="B9" s="288" t="s">
        <v>48</v>
      </c>
      <c r="C9" s="306">
        <v>652</v>
      </c>
      <c r="D9" s="306">
        <v>2230</v>
      </c>
      <c r="E9" s="306">
        <v>2265</v>
      </c>
      <c r="F9" s="307">
        <f t="shared" si="0"/>
        <v>4.451764687383915E-3</v>
      </c>
      <c r="G9" s="306">
        <v>4579</v>
      </c>
      <c r="H9" s="318">
        <f t="shared" si="3"/>
        <v>1.021633554083885</v>
      </c>
      <c r="I9" s="309">
        <f t="shared" si="4"/>
        <v>2314</v>
      </c>
      <c r="J9" s="307">
        <f t="shared" si="5"/>
        <v>8.5924613770831416E-3</v>
      </c>
      <c r="K9" s="306">
        <v>3106</v>
      </c>
      <c r="L9" s="314">
        <f t="shared" si="6"/>
        <v>-0.32168595763267094</v>
      </c>
      <c r="M9" s="313">
        <f t="shared" si="7"/>
        <v>-1473</v>
      </c>
      <c r="N9" s="312">
        <f t="shared" si="8"/>
        <v>5.6518455841544522E-3</v>
      </c>
      <c r="O9" s="306">
        <v>3440</v>
      </c>
      <c r="P9" s="314">
        <f t="shared" si="9"/>
        <v>0.10753380553766911</v>
      </c>
      <c r="Q9" s="313">
        <f t="shared" si="10"/>
        <v>334</v>
      </c>
      <c r="R9" s="314">
        <f t="shared" si="1"/>
        <v>4.2760736196319016</v>
      </c>
      <c r="S9" s="313">
        <f t="shared" si="2"/>
        <v>2788</v>
      </c>
      <c r="T9" s="312">
        <f t="shared" si="11"/>
        <v>6.106740136904593E-3</v>
      </c>
      <c r="V9" s="37"/>
      <c r="W9" s="103"/>
      <c r="AE9" s="1"/>
    </row>
    <row r="10" spans="1:31" s="4" customFormat="1" x14ac:dyDescent="0.25">
      <c r="B10" s="288" t="s">
        <v>50</v>
      </c>
      <c r="C10" s="306">
        <v>65110</v>
      </c>
      <c r="D10" s="306">
        <v>95314</v>
      </c>
      <c r="E10" s="306">
        <v>211099</v>
      </c>
      <c r="F10" s="312">
        <f t="shared" si="0"/>
        <v>0.41490643432320401</v>
      </c>
      <c r="G10" s="306">
        <v>221702</v>
      </c>
      <c r="H10" s="314">
        <f t="shared" si="3"/>
        <v>5.0227618321261547E-2</v>
      </c>
      <c r="I10" s="313">
        <f t="shared" si="4"/>
        <v>10603</v>
      </c>
      <c r="J10" s="312">
        <f t="shared" si="5"/>
        <v>0.41602224770082696</v>
      </c>
      <c r="K10" s="306">
        <v>242379</v>
      </c>
      <c r="L10" s="314">
        <f t="shared" si="6"/>
        <v>9.3264832973992018E-2</v>
      </c>
      <c r="M10" s="313">
        <f t="shared" si="7"/>
        <v>20677</v>
      </c>
      <c r="N10" s="312">
        <f t="shared" si="8"/>
        <v>0.44104593716734447</v>
      </c>
      <c r="O10" s="306">
        <v>262348</v>
      </c>
      <c r="P10" s="314">
        <f t="shared" si="9"/>
        <v>8.2387500567293381E-2</v>
      </c>
      <c r="Q10" s="313">
        <f t="shared" si="10"/>
        <v>19969</v>
      </c>
      <c r="R10" s="314">
        <f t="shared" si="1"/>
        <v>3.0293042543388111</v>
      </c>
      <c r="S10" s="313">
        <f t="shared" si="2"/>
        <v>197238</v>
      </c>
      <c r="T10" s="312">
        <f>O10/$O$6</f>
        <v>0.46572414576646687</v>
      </c>
      <c r="V10" s="37"/>
      <c r="W10" s="103"/>
      <c r="AE10" s="1"/>
    </row>
    <row r="11" spans="1:31" s="4" customFormat="1" x14ac:dyDescent="0.25">
      <c r="B11" s="288" t="s">
        <v>52</v>
      </c>
      <c r="C11" s="306">
        <v>24100</v>
      </c>
      <c r="D11" s="306">
        <v>17469</v>
      </c>
      <c r="E11" s="306">
        <v>27158</v>
      </c>
      <c r="F11" s="307">
        <f t="shared" si="0"/>
        <v>5.3377936150098178E-2</v>
      </c>
      <c r="G11" s="306">
        <v>31028</v>
      </c>
      <c r="H11" s="318">
        <f t="shared" si="3"/>
        <v>0.14249944767655931</v>
      </c>
      <c r="I11" s="309">
        <f t="shared" si="4"/>
        <v>3870</v>
      </c>
      <c r="J11" s="307">
        <f t="shared" si="5"/>
        <v>5.8223824330232744E-2</v>
      </c>
      <c r="K11" s="306">
        <v>29568</v>
      </c>
      <c r="L11" s="314">
        <f t="shared" si="6"/>
        <v>-4.7054273559365756E-2</v>
      </c>
      <c r="M11" s="313">
        <f t="shared" si="7"/>
        <v>-1460</v>
      </c>
      <c r="N11" s="312">
        <f t="shared" si="8"/>
        <v>5.3803531948576573E-2</v>
      </c>
      <c r="O11" s="306">
        <v>29041</v>
      </c>
      <c r="P11" s="314">
        <f t="shared" si="9"/>
        <v>-1.7823322510822526E-2</v>
      </c>
      <c r="Q11" s="313">
        <f t="shared" si="10"/>
        <v>-527</v>
      </c>
      <c r="R11" s="314">
        <f t="shared" si="1"/>
        <v>0.20502074688796679</v>
      </c>
      <c r="S11" s="313">
        <f t="shared" si="2"/>
        <v>4941</v>
      </c>
      <c r="T11" s="312">
        <f t="shared" si="11"/>
        <v>5.1554023347629735E-2</v>
      </c>
      <c r="V11" s="37"/>
      <c r="W11" s="103"/>
      <c r="AE11" s="1"/>
    </row>
    <row r="12" spans="1:31" s="4" customFormat="1" x14ac:dyDescent="0.25">
      <c r="B12" s="288" t="s">
        <v>53</v>
      </c>
      <c r="C12" s="306">
        <v>23563</v>
      </c>
      <c r="D12" s="306">
        <v>39979</v>
      </c>
      <c r="E12" s="306">
        <v>53100</v>
      </c>
      <c r="F12" s="312">
        <f t="shared" si="0"/>
        <v>0.10436587412807324</v>
      </c>
      <c r="G12" s="306">
        <v>66570</v>
      </c>
      <c r="H12" s="314">
        <f t="shared" si="3"/>
        <v>0.25367231638418075</v>
      </c>
      <c r="I12" s="313">
        <f t="shared" si="4"/>
        <v>13470</v>
      </c>
      <c r="J12" s="312">
        <f t="shared" si="5"/>
        <v>0.12491813799354111</v>
      </c>
      <c r="K12" s="306">
        <v>66129</v>
      </c>
      <c r="L12" s="314">
        <f t="shared" si="6"/>
        <v>-6.6246056782334195E-3</v>
      </c>
      <c r="M12" s="313">
        <f t="shared" si="7"/>
        <v>-441</v>
      </c>
      <c r="N12" s="312">
        <f t="shared" si="8"/>
        <v>0.12033190490487758</v>
      </c>
      <c r="O12" s="306">
        <v>70301</v>
      </c>
      <c r="P12" s="314">
        <f t="shared" si="9"/>
        <v>6.3088811262834721E-2</v>
      </c>
      <c r="Q12" s="313">
        <f t="shared" si="10"/>
        <v>4172</v>
      </c>
      <c r="R12" s="314">
        <f t="shared" si="1"/>
        <v>1.983533505920299</v>
      </c>
      <c r="S12" s="313">
        <f t="shared" si="2"/>
        <v>46738</v>
      </c>
      <c r="T12" s="312">
        <f t="shared" si="11"/>
        <v>0.12479940068736331</v>
      </c>
      <c r="V12" s="37"/>
      <c r="W12" s="103"/>
      <c r="AE12" s="1"/>
    </row>
    <row r="13" spans="1:31" s="4" customFormat="1" x14ac:dyDescent="0.25">
      <c r="B13" s="288" t="s">
        <v>51</v>
      </c>
      <c r="C13" s="306">
        <v>5893</v>
      </c>
      <c r="D13" s="306">
        <v>7874</v>
      </c>
      <c r="E13" s="306">
        <v>14379</v>
      </c>
      <c r="F13" s="307">
        <f t="shared" si="0"/>
        <v>2.8261335293551133E-2</v>
      </c>
      <c r="G13" s="306">
        <v>22489</v>
      </c>
      <c r="H13" s="318">
        <f t="shared" si="3"/>
        <v>0.56401696919118161</v>
      </c>
      <c r="I13" s="309">
        <f t="shared" si="4"/>
        <v>8110</v>
      </c>
      <c r="J13" s="307">
        <f t="shared" si="5"/>
        <v>4.2200450733614933E-2</v>
      </c>
      <c r="K13" s="306">
        <v>20148</v>
      </c>
      <c r="L13" s="314">
        <f t="shared" si="6"/>
        <v>-0.10409533549735428</v>
      </c>
      <c r="M13" s="313">
        <f t="shared" si="7"/>
        <v>-2341</v>
      </c>
      <c r="N13" s="312">
        <f t="shared" si="8"/>
        <v>3.6662390479569831E-2</v>
      </c>
      <c r="O13" s="306">
        <v>18580</v>
      </c>
      <c r="P13" s="314">
        <f t="shared" si="9"/>
        <v>-7.7824101647806287E-2</v>
      </c>
      <c r="Q13" s="313">
        <f t="shared" si="10"/>
        <v>-1568</v>
      </c>
      <c r="R13" s="314">
        <f t="shared" si="1"/>
        <v>2.1528932631936195</v>
      </c>
      <c r="S13" s="313">
        <f t="shared" si="2"/>
        <v>12687</v>
      </c>
      <c r="T13" s="312">
        <f t="shared" si="11"/>
        <v>3.2983497599909109E-2</v>
      </c>
      <c r="V13" s="37"/>
      <c r="W13" s="103"/>
      <c r="AE13" s="1"/>
    </row>
    <row r="14" spans="1:31" s="4" customFormat="1" x14ac:dyDescent="0.25">
      <c r="B14" s="288" t="s">
        <v>54</v>
      </c>
      <c r="C14" s="306">
        <v>5089</v>
      </c>
      <c r="D14" s="306">
        <v>9999</v>
      </c>
      <c r="E14" s="306">
        <v>7843</v>
      </c>
      <c r="F14" s="312">
        <f t="shared" si="0"/>
        <v>1.5415095118389423E-2</v>
      </c>
      <c r="G14" s="306">
        <v>9698</v>
      </c>
      <c r="H14" s="314">
        <f t="shared" si="3"/>
        <v>0.23651663904118325</v>
      </c>
      <c r="I14" s="313">
        <f t="shared" si="4"/>
        <v>1855</v>
      </c>
      <c r="J14" s="312">
        <f t="shared" si="5"/>
        <v>1.819822896592101E-2</v>
      </c>
      <c r="K14" s="306">
        <v>8923</v>
      </c>
      <c r="L14" s="314">
        <f t="shared" si="6"/>
        <v>-7.9913384202928484E-2</v>
      </c>
      <c r="M14" s="313">
        <f t="shared" si="7"/>
        <v>-775</v>
      </c>
      <c r="N14" s="312">
        <f t="shared" si="8"/>
        <v>1.6236773389378678E-2</v>
      </c>
      <c r="O14" s="306">
        <v>11339</v>
      </c>
      <c r="P14" s="314">
        <f t="shared" si="9"/>
        <v>0.27076095483581764</v>
      </c>
      <c r="Q14" s="313">
        <f t="shared" si="10"/>
        <v>2416</v>
      </c>
      <c r="R14" s="314">
        <f t="shared" si="1"/>
        <v>1.2281391235999215</v>
      </c>
      <c r="S14" s="313">
        <f t="shared" si="2"/>
        <v>6250</v>
      </c>
      <c r="T14" s="312">
        <f t="shared" si="11"/>
        <v>2.0129164654756157E-2</v>
      </c>
      <c r="V14" s="37"/>
      <c r="W14" s="103"/>
      <c r="AE14" s="1"/>
    </row>
    <row r="15" spans="1:31" s="4" customFormat="1" x14ac:dyDescent="0.25">
      <c r="B15" s="288" t="s">
        <v>49</v>
      </c>
      <c r="C15" s="306">
        <v>12942</v>
      </c>
      <c r="D15" s="306">
        <v>3521</v>
      </c>
      <c r="E15" s="306">
        <v>7579</v>
      </c>
      <c r="F15" s="307">
        <f t="shared" si="0"/>
        <v>1.4896213936283749E-2</v>
      </c>
      <c r="G15" s="306">
        <v>12212</v>
      </c>
      <c r="H15" s="318">
        <f t="shared" si="3"/>
        <v>0.61129436601134723</v>
      </c>
      <c r="I15" s="309">
        <f t="shared" si="4"/>
        <v>4633</v>
      </c>
      <c r="J15" s="307">
        <f t="shared" si="5"/>
        <v>2.2915732329534685E-2</v>
      </c>
      <c r="K15" s="306">
        <v>19824</v>
      </c>
      <c r="L15" s="314">
        <f t="shared" si="6"/>
        <v>0.6233213232885686</v>
      </c>
      <c r="M15" s="313">
        <f t="shared" si="7"/>
        <v>7612</v>
      </c>
      <c r="N15" s="312">
        <f t="shared" si="8"/>
        <v>3.6072822556432023E-2</v>
      </c>
      <c r="O15" s="306">
        <v>23171</v>
      </c>
      <c r="P15" s="314">
        <f t="shared" si="9"/>
        <v>0.16883575464083944</v>
      </c>
      <c r="Q15" s="313">
        <f t="shared" si="10"/>
        <v>3347</v>
      </c>
      <c r="R15" s="314">
        <f t="shared" si="1"/>
        <v>0.79037243084530995</v>
      </c>
      <c r="S15" s="313">
        <f t="shared" si="2"/>
        <v>10229</v>
      </c>
      <c r="T15" s="312">
        <f t="shared" si="11"/>
        <v>4.1133510381458231E-2</v>
      </c>
      <c r="V15" s="37"/>
      <c r="W15" s="103"/>
      <c r="AE15" s="1"/>
    </row>
    <row r="16" spans="1:31" s="4" customFormat="1" x14ac:dyDescent="0.25">
      <c r="B16" s="288" t="s">
        <v>207</v>
      </c>
      <c r="C16" s="306">
        <f>C6-SUM(C7:C15)</f>
        <v>30869</v>
      </c>
      <c r="D16" s="306">
        <f>D6-SUM(D7:D15)</f>
        <v>6546</v>
      </c>
      <c r="E16" s="306">
        <f>E6-SUM(E7:E15)</f>
        <v>13718</v>
      </c>
      <c r="F16" s="312">
        <f t="shared" si="0"/>
        <v>2.6962166879263817E-2</v>
      </c>
      <c r="G16" s="306">
        <f>G6-SUM(G7:G15)</f>
        <v>13546</v>
      </c>
      <c r="H16" s="314">
        <f t="shared" si="3"/>
        <v>-1.2538270884968616E-2</v>
      </c>
      <c r="I16" s="313">
        <f t="shared" si="4"/>
        <v>-172</v>
      </c>
      <c r="J16" s="312">
        <f t="shared" si="5"/>
        <v>2.5418973971165808E-2</v>
      </c>
      <c r="K16" s="306">
        <f>K6-SUM(K7:K15)</f>
        <v>15765</v>
      </c>
      <c r="L16" s="314">
        <f t="shared" si="6"/>
        <v>0.16381219548206105</v>
      </c>
      <c r="M16" s="313">
        <f t="shared" si="7"/>
        <v>2219</v>
      </c>
      <c r="N16" s="312">
        <f t="shared" si="8"/>
        <v>2.8686846630455551E-2</v>
      </c>
      <c r="O16" s="306">
        <f>O6-SUM(O7:O15)</f>
        <v>17563</v>
      </c>
      <c r="P16" s="314">
        <f t="shared" si="9"/>
        <v>0.11405011100539175</v>
      </c>
      <c r="Q16" s="313">
        <f t="shared" si="10"/>
        <v>1798</v>
      </c>
      <c r="R16" s="314">
        <f t="shared" si="1"/>
        <v>-0.43104732903560206</v>
      </c>
      <c r="S16" s="313">
        <f t="shared" si="2"/>
        <v>-13306</v>
      </c>
      <c r="T16" s="312">
        <f t="shared" si="11"/>
        <v>3.1178103786178885E-2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186</v>
      </c>
    </row>
    <row r="18" spans="2:31" s="4" customFormat="1" x14ac:dyDescent="0.25">
      <c r="B18" s="202" t="s">
        <v>187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188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189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190</v>
      </c>
      <c r="O44" s="15">
        <v>2021</v>
      </c>
      <c r="P44" s="15" t="s">
        <v>190</v>
      </c>
      <c r="Q44" s="15" t="s">
        <v>191</v>
      </c>
      <c r="R44" s="15" t="s">
        <v>192</v>
      </c>
      <c r="S44" s="15" t="s">
        <v>193</v>
      </c>
      <c r="T44" s="112"/>
      <c r="AE44" s="1"/>
    </row>
    <row r="45" spans="2:31" s="4" customFormat="1" ht="18.75" hidden="1" x14ac:dyDescent="0.3">
      <c r="B45" s="277" t="s">
        <v>177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178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179</v>
      </c>
    </row>
    <row r="47" spans="2:31" ht="15.75" hidden="1" x14ac:dyDescent="0.25">
      <c r="B47" s="280" t="s">
        <v>102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180</v>
      </c>
    </row>
    <row r="48" spans="2:31" s="4" customFormat="1" hidden="1" x14ac:dyDescent="0.25">
      <c r="B48" s="283" t="s">
        <v>105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181</v>
      </c>
    </row>
    <row r="49" spans="2:31" s="4" customFormat="1" hidden="1" x14ac:dyDescent="0.25">
      <c r="B49" s="288" t="s">
        <v>182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183</v>
      </c>
    </row>
    <row r="50" spans="2:31" s="4" customFormat="1" hidden="1" x14ac:dyDescent="0.25">
      <c r="B50" s="288" t="s">
        <v>184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185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186</v>
      </c>
    </row>
    <row r="52" spans="2:31" s="4" customFormat="1" hidden="1" x14ac:dyDescent="0.25">
      <c r="B52" s="66" t="s">
        <v>187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94"/>
      <c r="AE52" s="1" t="s">
        <v>188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5" t="s">
        <v>30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206</v>
      </c>
      <c r="C136" s="281">
        <v>248294</v>
      </c>
      <c r="D136" s="281">
        <v>384253</v>
      </c>
      <c r="E136" s="281">
        <v>593573</v>
      </c>
      <c r="F136" s="281">
        <v>612478</v>
      </c>
      <c r="G136" s="282">
        <f>F136/E136-1</f>
        <v>3.1849494501939857E-2</v>
      </c>
      <c r="H136" s="281">
        <f>F136-E136</f>
        <v>18905</v>
      </c>
      <c r="I136" s="282">
        <f>F136/F$136</f>
        <v>1</v>
      </c>
      <c r="J136" s="281">
        <v>636461</v>
      </c>
      <c r="K136" s="282">
        <f>H136/H$136</f>
        <v>1</v>
      </c>
      <c r="L136" s="282">
        <f>J136/F136-1</f>
        <v>3.915732483452472E-2</v>
      </c>
      <c r="M136" s="281">
        <f>J136-F136</f>
        <v>23983</v>
      </c>
      <c r="N136" s="282">
        <f>J136/C136-1</f>
        <v>1.5633362062715972</v>
      </c>
      <c r="O136" s="281">
        <f>J136-C136</f>
        <v>388167</v>
      </c>
      <c r="Q136" s="37"/>
      <c r="R136" s="103"/>
      <c r="Z136" s="1" t="s">
        <v>179</v>
      </c>
      <c r="AE136"/>
    </row>
    <row r="137" spans="1:31" s="4" customFormat="1" x14ac:dyDescent="0.25">
      <c r="B137" s="288" t="s">
        <v>46</v>
      </c>
      <c r="C137" s="306">
        <v>49521</v>
      </c>
      <c r="D137" s="306">
        <v>120918</v>
      </c>
      <c r="E137" s="306">
        <v>120397</v>
      </c>
      <c r="F137" s="306">
        <v>106138</v>
      </c>
      <c r="G137" s="312">
        <f t="shared" ref="G137:G146" si="12">F137/E137-1</f>
        <v>-0.11843318355108512</v>
      </c>
      <c r="H137" s="320">
        <f t="shared" ref="H137:H146" si="13">F137-E137</f>
        <v>-14259</v>
      </c>
      <c r="I137" s="314">
        <f t="shared" ref="I137:K146" si="14">F137/F$136</f>
        <v>0.17329275500507774</v>
      </c>
      <c r="J137" s="306">
        <v>101169</v>
      </c>
      <c r="K137" s="314">
        <f t="shared" si="14"/>
        <v>-0.75424490875429784</v>
      </c>
      <c r="L137" s="314">
        <f t="shared" ref="L137:L146" si="15">J137/F137-1</f>
        <v>-4.6816408826245048E-2</v>
      </c>
      <c r="M137" s="313">
        <f t="shared" ref="M137:M146" si="16">J137-F137</f>
        <v>-4969</v>
      </c>
      <c r="N137" s="312">
        <f t="shared" ref="N137:N145" si="17">J137/C137-1</f>
        <v>1.0429514751317623</v>
      </c>
      <c r="O137" s="306">
        <f t="shared" ref="O137:O146" si="18">J137-C137</f>
        <v>51648</v>
      </c>
      <c r="Q137" s="37"/>
      <c r="R137" s="103"/>
      <c r="Z137" s="1" t="s">
        <v>181</v>
      </c>
    </row>
    <row r="138" spans="1:31" s="4" customFormat="1" x14ac:dyDescent="0.25">
      <c r="B138" s="288" t="s">
        <v>47</v>
      </c>
      <c r="C138" s="306">
        <v>26848</v>
      </c>
      <c r="D138" s="306">
        <v>39986</v>
      </c>
      <c r="E138" s="306">
        <v>75857</v>
      </c>
      <c r="F138" s="306">
        <v>67064</v>
      </c>
      <c r="G138" s="312">
        <f t="shared" si="12"/>
        <v>-0.1159154725338466</v>
      </c>
      <c r="H138" s="320">
        <f t="shared" si="13"/>
        <v>-8793</v>
      </c>
      <c r="I138" s="314">
        <f t="shared" si="14"/>
        <v>0.10949617782189727</v>
      </c>
      <c r="J138" s="306">
        <v>64415</v>
      </c>
      <c r="K138" s="314">
        <f t="shared" si="14"/>
        <v>-0.4651150489288548</v>
      </c>
      <c r="L138" s="314">
        <f t="shared" si="15"/>
        <v>-3.9499582488369267E-2</v>
      </c>
      <c r="M138" s="313">
        <f t="shared" si="16"/>
        <v>-2649</v>
      </c>
      <c r="N138" s="312">
        <f t="shared" si="17"/>
        <v>1.3992476162097733</v>
      </c>
      <c r="O138" s="306">
        <f t="shared" si="18"/>
        <v>37567</v>
      </c>
      <c r="Q138" s="37"/>
      <c r="R138" s="103"/>
      <c r="Z138" s="1"/>
    </row>
    <row r="139" spans="1:31" s="4" customFormat="1" x14ac:dyDescent="0.25">
      <c r="B139" s="288" t="s">
        <v>48</v>
      </c>
      <c r="C139" s="306">
        <v>681</v>
      </c>
      <c r="D139" s="306">
        <v>2535</v>
      </c>
      <c r="E139" s="306">
        <v>3247</v>
      </c>
      <c r="F139" s="306">
        <v>5439</v>
      </c>
      <c r="G139" s="312">
        <f t="shared" si="12"/>
        <v>0.67508469356328926</v>
      </c>
      <c r="H139" s="321">
        <f t="shared" si="13"/>
        <v>2192</v>
      </c>
      <c r="I139" s="318">
        <f t="shared" si="14"/>
        <v>8.8803189665587982E-3</v>
      </c>
      <c r="J139" s="306">
        <v>3803</v>
      </c>
      <c r="K139" s="318">
        <f t="shared" si="14"/>
        <v>0.11594816186194129</v>
      </c>
      <c r="L139" s="314">
        <f t="shared" si="15"/>
        <v>-0.30079058650487223</v>
      </c>
      <c r="M139" s="313">
        <f t="shared" si="16"/>
        <v>-1636</v>
      </c>
      <c r="N139" s="312">
        <f t="shared" si="17"/>
        <v>4.5844346549192361</v>
      </c>
      <c r="O139" s="306">
        <f t="shared" si="18"/>
        <v>3122</v>
      </c>
      <c r="Q139" s="37"/>
      <c r="R139" s="103"/>
      <c r="Z139" s="1"/>
    </row>
    <row r="140" spans="1:31" s="4" customFormat="1" x14ac:dyDescent="0.25">
      <c r="B140" s="288" t="s">
        <v>50</v>
      </c>
      <c r="C140" s="306">
        <v>74813</v>
      </c>
      <c r="D140" s="306">
        <v>114704</v>
      </c>
      <c r="E140" s="306">
        <v>244952</v>
      </c>
      <c r="F140" s="306">
        <v>249820</v>
      </c>
      <c r="G140" s="312">
        <f t="shared" si="12"/>
        <v>1.987328129592747E-2</v>
      </c>
      <c r="H140" s="320">
        <f t="shared" si="13"/>
        <v>4868</v>
      </c>
      <c r="I140" s="314">
        <f t="shared" si="14"/>
        <v>0.40788403828382408</v>
      </c>
      <c r="J140" s="306">
        <v>275953</v>
      </c>
      <c r="K140" s="314">
        <f t="shared" si="14"/>
        <v>0.25749801639777836</v>
      </c>
      <c r="L140" s="314">
        <f t="shared" si="15"/>
        <v>0.1046073172684332</v>
      </c>
      <c r="M140" s="313">
        <f t="shared" si="16"/>
        <v>26133</v>
      </c>
      <c r="N140" s="312">
        <f t="shared" si="17"/>
        <v>2.6885701682862604</v>
      </c>
      <c r="O140" s="306">
        <f t="shared" si="18"/>
        <v>201140</v>
      </c>
      <c r="Q140" s="37"/>
      <c r="R140" s="103"/>
      <c r="Z140" s="1"/>
    </row>
    <row r="141" spans="1:31" s="4" customFormat="1" x14ac:dyDescent="0.25">
      <c r="B141" s="288" t="s">
        <v>52</v>
      </c>
      <c r="C141" s="306">
        <v>25621</v>
      </c>
      <c r="D141" s="306">
        <v>20278</v>
      </c>
      <c r="E141" s="306">
        <v>32271</v>
      </c>
      <c r="F141" s="306">
        <v>36164</v>
      </c>
      <c r="G141" s="312">
        <f t="shared" si="12"/>
        <v>0.12063462551516846</v>
      </c>
      <c r="H141" s="321">
        <f t="shared" si="13"/>
        <v>3893</v>
      </c>
      <c r="I141" s="318">
        <f t="shared" si="14"/>
        <v>5.9045386119991251E-2</v>
      </c>
      <c r="J141" s="306">
        <v>33708</v>
      </c>
      <c r="K141" s="318">
        <f t="shared" si="14"/>
        <v>0.20592435863528166</v>
      </c>
      <c r="L141" s="314">
        <f t="shared" si="15"/>
        <v>-6.791284149983412E-2</v>
      </c>
      <c r="M141" s="313">
        <f t="shared" si="16"/>
        <v>-2456</v>
      </c>
      <c r="N141" s="312">
        <f t="shared" si="17"/>
        <v>0.31563951446079397</v>
      </c>
      <c r="O141" s="306">
        <f t="shared" si="18"/>
        <v>8087</v>
      </c>
      <c r="Q141" s="37"/>
      <c r="R141" s="103"/>
      <c r="Z141" s="1"/>
    </row>
    <row r="142" spans="1:31" s="4" customFormat="1" x14ac:dyDescent="0.25">
      <c r="B142" s="288" t="s">
        <v>53</v>
      </c>
      <c r="C142" s="306">
        <v>33780</v>
      </c>
      <c r="D142" s="306">
        <v>51310</v>
      </c>
      <c r="E142" s="306">
        <v>65021</v>
      </c>
      <c r="F142" s="306">
        <v>80309</v>
      </c>
      <c r="G142" s="312">
        <f t="shared" si="12"/>
        <v>0.23512403684963323</v>
      </c>
      <c r="H142" s="320">
        <f t="shared" si="13"/>
        <v>15288</v>
      </c>
      <c r="I142" s="314">
        <f t="shared" si="14"/>
        <v>0.1311214443620832</v>
      </c>
      <c r="J142" s="306">
        <v>80773</v>
      </c>
      <c r="K142" s="314">
        <f t="shared" si="14"/>
        <v>0.80867495371594811</v>
      </c>
      <c r="L142" s="314">
        <f t="shared" si="15"/>
        <v>5.7776836967213807E-3</v>
      </c>
      <c r="M142" s="313">
        <f t="shared" si="16"/>
        <v>464</v>
      </c>
      <c r="N142" s="312">
        <f t="shared" si="17"/>
        <v>1.3911486086441682</v>
      </c>
      <c r="O142" s="306">
        <f t="shared" si="18"/>
        <v>46993</v>
      </c>
      <c r="Q142" s="37"/>
      <c r="R142" s="103"/>
      <c r="Z142" s="1"/>
    </row>
    <row r="143" spans="1:31" s="4" customFormat="1" x14ac:dyDescent="0.25">
      <c r="B143" s="288" t="s">
        <v>51</v>
      </c>
      <c r="C143" s="306">
        <v>7339</v>
      </c>
      <c r="D143" s="306">
        <v>10731</v>
      </c>
      <c r="E143" s="306">
        <v>17520</v>
      </c>
      <c r="F143" s="306">
        <v>25698</v>
      </c>
      <c r="G143" s="312">
        <f t="shared" si="12"/>
        <v>0.46678082191780823</v>
      </c>
      <c r="H143" s="321">
        <f t="shared" si="13"/>
        <v>8178</v>
      </c>
      <c r="I143" s="318">
        <f t="shared" si="14"/>
        <v>4.1957425409565728E-2</v>
      </c>
      <c r="J143" s="306">
        <v>23944</v>
      </c>
      <c r="K143" s="318">
        <f t="shared" si="14"/>
        <v>0.43258397249404917</v>
      </c>
      <c r="L143" s="314">
        <f t="shared" si="15"/>
        <v>-6.8254338859055186E-2</v>
      </c>
      <c r="M143" s="313">
        <f t="shared" si="16"/>
        <v>-1754</v>
      </c>
      <c r="N143" s="312">
        <f t="shared" si="17"/>
        <v>2.2625698324022347</v>
      </c>
      <c r="O143" s="306">
        <f t="shared" si="18"/>
        <v>16605</v>
      </c>
      <c r="Q143" s="37"/>
      <c r="R143" s="103"/>
      <c r="Z143" s="1"/>
    </row>
    <row r="144" spans="1:31" s="4" customFormat="1" x14ac:dyDescent="0.25">
      <c r="B144" s="288" t="s">
        <v>54</v>
      </c>
      <c r="C144" s="306">
        <v>6781</v>
      </c>
      <c r="D144" s="306">
        <v>11021</v>
      </c>
      <c r="E144" s="306">
        <v>9118</v>
      </c>
      <c r="F144" s="306">
        <v>11280</v>
      </c>
      <c r="G144" s="312">
        <f t="shared" si="12"/>
        <v>0.23711340206185572</v>
      </c>
      <c r="H144" s="320">
        <f t="shared" si="13"/>
        <v>2162</v>
      </c>
      <c r="I144" s="314">
        <f t="shared" si="14"/>
        <v>1.8416988038754044E-2</v>
      </c>
      <c r="J144" s="306">
        <v>10812</v>
      </c>
      <c r="K144" s="314">
        <f t="shared" si="14"/>
        <v>0.1143612800846337</v>
      </c>
      <c r="L144" s="314">
        <f t="shared" si="15"/>
        <v>-4.1489361702127692E-2</v>
      </c>
      <c r="M144" s="313">
        <f t="shared" si="16"/>
        <v>-468</v>
      </c>
      <c r="N144" s="312">
        <f t="shared" si="17"/>
        <v>0.59445509511871397</v>
      </c>
      <c r="O144" s="306">
        <f t="shared" si="18"/>
        <v>4031</v>
      </c>
      <c r="Q144" s="37"/>
      <c r="R144" s="103"/>
      <c r="Z144" s="1"/>
    </row>
    <row r="145" spans="2:31" s="4" customFormat="1" x14ac:dyDescent="0.25">
      <c r="B145" s="288" t="s">
        <v>49</v>
      </c>
      <c r="C145" s="306">
        <v>15343</v>
      </c>
      <c r="D145" s="306">
        <v>4744</v>
      </c>
      <c r="E145" s="306">
        <v>9037</v>
      </c>
      <c r="F145" s="306">
        <v>15069</v>
      </c>
      <c r="G145" s="312">
        <f t="shared" si="12"/>
        <v>0.66747814540223516</v>
      </c>
      <c r="H145" s="321">
        <f t="shared" si="13"/>
        <v>6032</v>
      </c>
      <c r="I145" s="318">
        <f t="shared" si="14"/>
        <v>2.4603332691133396E-2</v>
      </c>
      <c r="J145" s="306">
        <v>23750</v>
      </c>
      <c r="K145" s="318">
        <f t="shared" si="14"/>
        <v>0.31906902935731291</v>
      </c>
      <c r="L145" s="314">
        <f t="shared" si="15"/>
        <v>0.57608334992368437</v>
      </c>
      <c r="M145" s="313">
        <f t="shared" si="16"/>
        <v>8681</v>
      </c>
      <c r="N145" s="312">
        <f t="shared" si="17"/>
        <v>0.54793717004497156</v>
      </c>
      <c r="O145" s="306">
        <f t="shared" si="18"/>
        <v>8407</v>
      </c>
      <c r="Q145" s="37"/>
      <c r="R145" s="103"/>
      <c r="Z145" s="1"/>
    </row>
    <row r="146" spans="2:31" s="4" customFormat="1" x14ac:dyDescent="0.25">
      <c r="B146" s="288" t="s">
        <v>207</v>
      </c>
      <c r="C146" s="306">
        <f>C136-SUM(C137:C145)</f>
        <v>7567</v>
      </c>
      <c r="D146" s="306">
        <f>D136-SUM(D137:D145)</f>
        <v>8026</v>
      </c>
      <c r="E146" s="306">
        <f>E136-SUM(E137:E145)</f>
        <v>16153</v>
      </c>
      <c r="F146" s="306">
        <f>F136-SUM(F137:F145)</f>
        <v>15497</v>
      </c>
      <c r="G146" s="312">
        <f t="shared" si="12"/>
        <v>-4.0611651086485456E-2</v>
      </c>
      <c r="H146" s="320">
        <f t="shared" si="13"/>
        <v>-656</v>
      </c>
      <c r="I146" s="314">
        <f t="shared" si="14"/>
        <v>2.5302133301114488E-2</v>
      </c>
      <c r="J146" s="306">
        <f>J136-SUM(J137:J145)</f>
        <v>18134</v>
      </c>
      <c r="K146" s="314">
        <f t="shared" si="14"/>
        <v>-3.4699814863792644E-2</v>
      </c>
      <c r="L146" s="314">
        <f t="shared" si="15"/>
        <v>0.17016196683229001</v>
      </c>
      <c r="M146" s="313">
        <f t="shared" si="16"/>
        <v>2637</v>
      </c>
      <c r="N146" s="312">
        <f>J146/C146-1</f>
        <v>1.3964583058015068</v>
      </c>
      <c r="O146" s="306">
        <f t="shared" si="18"/>
        <v>10567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186</v>
      </c>
    </row>
    <row r="148" spans="2:31" s="4" customFormat="1" x14ac:dyDescent="0.25">
      <c r="B148" s="202" t="s">
        <v>187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188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3A690-044D-4066-B36E-243A370E6F14}">
  <sheetPr>
    <tabColor theme="4" tint="0.39997558519241921"/>
  </sheetPr>
  <dimension ref="A1:AE149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209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206</v>
      </c>
      <c r="C6" s="297">
        <v>179710</v>
      </c>
      <c r="D6" s="297">
        <v>365080</v>
      </c>
      <c r="E6" s="297">
        <v>374364</v>
      </c>
      <c r="F6" s="298">
        <f>E6/$E$6</f>
        <v>1</v>
      </c>
      <c r="G6" s="297">
        <v>380988</v>
      </c>
      <c r="H6" s="298">
        <f>G6/E6-1</f>
        <v>1.7694009039330716E-2</v>
      </c>
      <c r="I6" s="297">
        <f>G6-E6</f>
        <v>6624</v>
      </c>
      <c r="J6" s="298">
        <f>G6/$G$6</f>
        <v>1</v>
      </c>
      <c r="K6" s="297">
        <v>371208</v>
      </c>
      <c r="L6" s="298">
        <f>K6/G6-1</f>
        <v>-2.5670099845664485E-2</v>
      </c>
      <c r="M6" s="297">
        <f>K6-G6</f>
        <v>-9780</v>
      </c>
      <c r="N6" s="298">
        <f>K6/$K$6</f>
        <v>1</v>
      </c>
      <c r="O6" s="297">
        <v>372245</v>
      </c>
      <c r="P6" s="298">
        <f>O6/K6-1</f>
        <v>2.7935820348699014E-3</v>
      </c>
      <c r="Q6" s="297">
        <f>O6-K6</f>
        <v>1037</v>
      </c>
      <c r="R6" s="298">
        <f>IFERROR(O6/C6-1,"-")</f>
        <v>1.0713649769072395</v>
      </c>
      <c r="S6" s="297">
        <f>O6-C6</f>
        <v>192535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88" t="s">
        <v>46</v>
      </c>
      <c r="C7" s="306">
        <v>52174</v>
      </c>
      <c r="D7" s="306">
        <v>117614</v>
      </c>
      <c r="E7" s="306">
        <v>78213</v>
      </c>
      <c r="F7" s="312">
        <f t="shared" ref="F7:F16" si="0">E7/$E$6</f>
        <v>0.2089223322755393</v>
      </c>
      <c r="G7" s="306">
        <v>68547</v>
      </c>
      <c r="H7" s="314">
        <f>G7/E7-1</f>
        <v>-0.12358559318783324</v>
      </c>
      <c r="I7" s="313">
        <f>G7-E7</f>
        <v>-9666</v>
      </c>
      <c r="J7" s="312">
        <f>G7/$G$6</f>
        <v>0.17991905256858484</v>
      </c>
      <c r="K7" s="306">
        <v>54723</v>
      </c>
      <c r="L7" s="314">
        <f>K7/G7-1</f>
        <v>-0.20167184559499318</v>
      </c>
      <c r="M7" s="313">
        <f>K7-G7</f>
        <v>-13824</v>
      </c>
      <c r="N7" s="312">
        <f>K7/$K$6</f>
        <v>0.14741869787289066</v>
      </c>
      <c r="O7" s="306">
        <v>61293</v>
      </c>
      <c r="P7" s="314">
        <f>O7/K7-1</f>
        <v>0.12005920728030262</v>
      </c>
      <c r="Q7" s="313">
        <f>O7-K7</f>
        <v>6570</v>
      </c>
      <c r="R7" s="314">
        <f t="shared" ref="R7:R16" si="1">IFERROR(O7/C7-1,"-")</f>
        <v>0.17478054203242999</v>
      </c>
      <c r="S7" s="313">
        <f t="shared" ref="S7:S16" si="2">O7-C7</f>
        <v>9119</v>
      </c>
      <c r="T7" s="312">
        <f>O7/$O$6</f>
        <v>0.16465768512673104</v>
      </c>
      <c r="V7" s="37"/>
      <c r="W7" s="103"/>
      <c r="AE7" s="1" t="s">
        <v>181</v>
      </c>
    </row>
    <row r="8" spans="1:31" s="4" customFormat="1" x14ac:dyDescent="0.25">
      <c r="B8" s="288" t="s">
        <v>47</v>
      </c>
      <c r="C8" s="306">
        <v>20552</v>
      </c>
      <c r="D8" s="306">
        <v>38712</v>
      </c>
      <c r="E8" s="306">
        <v>44470</v>
      </c>
      <c r="F8" s="312">
        <f t="shared" si="0"/>
        <v>0.11878813133741492</v>
      </c>
      <c r="G8" s="306">
        <v>46357</v>
      </c>
      <c r="H8" s="314">
        <f t="shared" ref="H8:H16" si="3">G8/E8-1</f>
        <v>4.2433100966944082E-2</v>
      </c>
      <c r="I8" s="313">
        <f t="shared" ref="I8:I16" si="4">G8-E8</f>
        <v>1887</v>
      </c>
      <c r="J8" s="312">
        <f t="shared" ref="J8:J16" si="5">G8/$G$6</f>
        <v>0.12167574831753231</v>
      </c>
      <c r="K8" s="306">
        <v>45451</v>
      </c>
      <c r="L8" s="314">
        <f t="shared" ref="L8:L16" si="6">K8/G8-1</f>
        <v>-1.9543973941368087E-2</v>
      </c>
      <c r="M8" s="313">
        <f t="shared" ref="M8:M16" si="7">K8-G8</f>
        <v>-906</v>
      </c>
      <c r="N8" s="312">
        <f t="shared" ref="N8:N16" si="8">K8/$K$6</f>
        <v>0.12244078791405358</v>
      </c>
      <c r="O8" s="306">
        <v>46055</v>
      </c>
      <c r="P8" s="314">
        <f t="shared" ref="P8:P16" si="9">O8/K8-1</f>
        <v>1.3289036544850585E-2</v>
      </c>
      <c r="Q8" s="313">
        <f t="shared" ref="Q8:Q16" si="10">O8-K8</f>
        <v>604</v>
      </c>
      <c r="R8" s="314">
        <f t="shared" si="1"/>
        <v>1.240901128843908</v>
      </c>
      <c r="S8" s="313">
        <f t="shared" si="2"/>
        <v>25503</v>
      </c>
      <c r="T8" s="312">
        <f t="shared" ref="T8:T16" si="11">O8/$O$6</f>
        <v>0.12372227968139263</v>
      </c>
      <c r="V8" s="37"/>
      <c r="W8" s="103"/>
      <c r="AE8" s="1"/>
    </row>
    <row r="9" spans="1:31" s="4" customFormat="1" x14ac:dyDescent="0.25">
      <c r="B9" s="288" t="s">
        <v>48</v>
      </c>
      <c r="C9" s="306">
        <v>1592</v>
      </c>
      <c r="D9" s="306">
        <v>2335</v>
      </c>
      <c r="E9" s="306">
        <v>2591</v>
      </c>
      <c r="F9" s="307">
        <f t="shared" si="0"/>
        <v>6.9210714705473814E-3</v>
      </c>
      <c r="G9" s="306">
        <v>12921</v>
      </c>
      <c r="H9" s="318">
        <f t="shared" si="3"/>
        <v>3.9868776534156698</v>
      </c>
      <c r="I9" s="309">
        <f t="shared" si="4"/>
        <v>10330</v>
      </c>
      <c r="J9" s="307">
        <f t="shared" si="5"/>
        <v>3.3914453998551135E-2</v>
      </c>
      <c r="K9" s="306">
        <v>6705</v>
      </c>
      <c r="L9" s="314">
        <f t="shared" si="6"/>
        <v>-0.48107731599721382</v>
      </c>
      <c r="M9" s="313">
        <f t="shared" si="7"/>
        <v>-6216</v>
      </c>
      <c r="N9" s="312">
        <f t="shared" si="8"/>
        <v>1.8062649511863968E-2</v>
      </c>
      <c r="O9" s="306">
        <v>4769</v>
      </c>
      <c r="P9" s="314">
        <f t="shared" si="9"/>
        <v>-0.28873974645786726</v>
      </c>
      <c r="Q9" s="313">
        <f t="shared" si="10"/>
        <v>-1936</v>
      </c>
      <c r="R9" s="314">
        <f t="shared" si="1"/>
        <v>1.995603015075377</v>
      </c>
      <c r="S9" s="313">
        <f t="shared" si="2"/>
        <v>3177</v>
      </c>
      <c r="T9" s="312">
        <f t="shared" si="11"/>
        <v>1.2811454821421375E-2</v>
      </c>
      <c r="V9" s="37"/>
      <c r="W9" s="103"/>
      <c r="AE9" s="1"/>
    </row>
    <row r="10" spans="1:31" s="4" customFormat="1" x14ac:dyDescent="0.25">
      <c r="B10" s="288" t="s">
        <v>50</v>
      </c>
      <c r="C10" s="306">
        <v>20676</v>
      </c>
      <c r="D10" s="306">
        <v>56045</v>
      </c>
      <c r="E10" s="306">
        <v>86680</v>
      </c>
      <c r="F10" s="312">
        <f t="shared" si="0"/>
        <v>0.23153935741684564</v>
      </c>
      <c r="G10" s="306">
        <v>82735</v>
      </c>
      <c r="H10" s="314">
        <f t="shared" si="3"/>
        <v>-4.5512228887863437E-2</v>
      </c>
      <c r="I10" s="313">
        <f t="shared" si="4"/>
        <v>-3945</v>
      </c>
      <c r="J10" s="312">
        <f t="shared" si="5"/>
        <v>0.21715907062689638</v>
      </c>
      <c r="K10" s="306">
        <v>94416</v>
      </c>
      <c r="L10" s="314">
        <f t="shared" si="6"/>
        <v>0.14118571342237263</v>
      </c>
      <c r="M10" s="313">
        <f t="shared" si="7"/>
        <v>11681</v>
      </c>
      <c r="N10" s="312">
        <f t="shared" si="8"/>
        <v>0.25434796663865</v>
      </c>
      <c r="O10" s="306">
        <v>91116</v>
      </c>
      <c r="P10" s="314">
        <f t="shared" si="9"/>
        <v>-3.495170310116924E-2</v>
      </c>
      <c r="Q10" s="313">
        <f t="shared" si="10"/>
        <v>-3300</v>
      </c>
      <c r="R10" s="314">
        <f t="shared" si="1"/>
        <v>3.4068485200232157</v>
      </c>
      <c r="S10" s="313">
        <f t="shared" si="2"/>
        <v>70440</v>
      </c>
      <c r="T10" s="312">
        <f>O10/$O$6</f>
        <v>0.24477427500705182</v>
      </c>
      <c r="V10" s="37"/>
      <c r="W10" s="103"/>
      <c r="AE10" s="1"/>
    </row>
    <row r="11" spans="1:31" s="4" customFormat="1" x14ac:dyDescent="0.25">
      <c r="B11" s="288" t="s">
        <v>52</v>
      </c>
      <c r="C11" s="306">
        <v>2599</v>
      </c>
      <c r="D11" s="306">
        <v>22225</v>
      </c>
      <c r="E11" s="306">
        <v>14941</v>
      </c>
      <c r="F11" s="307">
        <f t="shared" si="0"/>
        <v>3.991035462811595E-2</v>
      </c>
      <c r="G11" s="306">
        <v>18268</v>
      </c>
      <c r="H11" s="318">
        <f t="shared" si="3"/>
        <v>0.22267585837628001</v>
      </c>
      <c r="I11" s="309">
        <f t="shared" si="4"/>
        <v>3327</v>
      </c>
      <c r="J11" s="307">
        <f t="shared" si="5"/>
        <v>4.7949016766932293E-2</v>
      </c>
      <c r="K11" s="306">
        <v>14687</v>
      </c>
      <c r="L11" s="314">
        <f t="shared" si="6"/>
        <v>-0.19602583753010727</v>
      </c>
      <c r="M11" s="313">
        <f t="shared" si="7"/>
        <v>-3581</v>
      </c>
      <c r="N11" s="312">
        <f t="shared" si="8"/>
        <v>3.9565418848731708E-2</v>
      </c>
      <c r="O11" s="306">
        <v>17968</v>
      </c>
      <c r="P11" s="314">
        <f t="shared" si="9"/>
        <v>0.22339483897324164</v>
      </c>
      <c r="Q11" s="313">
        <f t="shared" si="10"/>
        <v>3281</v>
      </c>
      <c r="R11" s="314">
        <f t="shared" si="1"/>
        <v>5.9134282416313964</v>
      </c>
      <c r="S11" s="313">
        <f t="shared" si="2"/>
        <v>15369</v>
      </c>
      <c r="T11" s="312">
        <f t="shared" si="11"/>
        <v>4.8269285013902131E-2</v>
      </c>
      <c r="V11" s="37"/>
      <c r="W11" s="103"/>
      <c r="AE11" s="1"/>
    </row>
    <row r="12" spans="1:31" s="4" customFormat="1" x14ac:dyDescent="0.25">
      <c r="B12" s="288" t="s">
        <v>53</v>
      </c>
      <c r="C12" s="306">
        <v>19485</v>
      </c>
      <c r="D12" s="306">
        <v>41503</v>
      </c>
      <c r="E12" s="306">
        <v>57305</v>
      </c>
      <c r="F12" s="312">
        <f t="shared" si="0"/>
        <v>0.15307294504813498</v>
      </c>
      <c r="G12" s="306">
        <v>55716</v>
      </c>
      <c r="H12" s="314">
        <f t="shared" si="3"/>
        <v>-2.7728819474740374E-2</v>
      </c>
      <c r="I12" s="313">
        <f t="shared" si="4"/>
        <v>-1589</v>
      </c>
      <c r="J12" s="312">
        <f t="shared" si="5"/>
        <v>0.14624082648272388</v>
      </c>
      <c r="K12" s="306">
        <v>62457</v>
      </c>
      <c r="L12" s="314">
        <f t="shared" si="6"/>
        <v>0.12098858496661635</v>
      </c>
      <c r="M12" s="313">
        <f t="shared" si="7"/>
        <v>6741</v>
      </c>
      <c r="N12" s="312">
        <f t="shared" si="8"/>
        <v>0.16825337815995345</v>
      </c>
      <c r="O12" s="306">
        <v>78684</v>
      </c>
      <c r="P12" s="314">
        <f t="shared" si="9"/>
        <v>0.2598107497958595</v>
      </c>
      <c r="Q12" s="313">
        <f t="shared" si="10"/>
        <v>16227</v>
      </c>
      <c r="R12" s="314">
        <f t="shared" si="1"/>
        <v>3.038183217859892</v>
      </c>
      <c r="S12" s="313">
        <f t="shared" si="2"/>
        <v>59199</v>
      </c>
      <c r="T12" s="312">
        <f t="shared" si="11"/>
        <v>0.21137691574097706</v>
      </c>
      <c r="V12" s="37"/>
      <c r="W12" s="103"/>
      <c r="AE12" s="1"/>
    </row>
    <row r="13" spans="1:31" s="4" customFormat="1" x14ac:dyDescent="0.25">
      <c r="B13" s="288" t="s">
        <v>51</v>
      </c>
      <c r="C13" s="306">
        <v>6489</v>
      </c>
      <c r="D13" s="306">
        <v>8211</v>
      </c>
      <c r="E13" s="306">
        <v>12915</v>
      </c>
      <c r="F13" s="307">
        <f t="shared" si="0"/>
        <v>3.449850947206462E-2</v>
      </c>
      <c r="G13" s="306">
        <v>10196</v>
      </c>
      <c r="H13" s="318">
        <f t="shared" si="3"/>
        <v>-0.21053039101819593</v>
      </c>
      <c r="I13" s="309">
        <f t="shared" si="4"/>
        <v>-2719</v>
      </c>
      <c r="J13" s="307">
        <f t="shared" si="5"/>
        <v>2.6761997753210073E-2</v>
      </c>
      <c r="K13" s="306">
        <v>9167</v>
      </c>
      <c r="L13" s="314">
        <f t="shared" si="6"/>
        <v>-0.10092193016869355</v>
      </c>
      <c r="M13" s="313">
        <f t="shared" si="7"/>
        <v>-1029</v>
      </c>
      <c r="N13" s="312">
        <f t="shared" si="8"/>
        <v>2.469504967565354E-2</v>
      </c>
      <c r="O13" s="306">
        <v>10910</v>
      </c>
      <c r="P13" s="314">
        <f t="shared" si="9"/>
        <v>0.19013854041671219</v>
      </c>
      <c r="Q13" s="313">
        <f t="shared" si="10"/>
        <v>1743</v>
      </c>
      <c r="R13" s="314">
        <f t="shared" si="1"/>
        <v>0.68130682693789479</v>
      </c>
      <c r="S13" s="313">
        <f t="shared" si="2"/>
        <v>4421</v>
      </c>
      <c r="T13" s="312">
        <f t="shared" si="11"/>
        <v>2.9308654246531181E-2</v>
      </c>
      <c r="V13" s="37"/>
      <c r="W13" s="103"/>
      <c r="AE13" s="1"/>
    </row>
    <row r="14" spans="1:31" s="4" customFormat="1" x14ac:dyDescent="0.25">
      <c r="B14" s="288" t="s">
        <v>54</v>
      </c>
      <c r="C14" s="306">
        <v>13319</v>
      </c>
      <c r="D14" s="306">
        <v>31931</v>
      </c>
      <c r="E14" s="306">
        <v>18308</v>
      </c>
      <c r="F14" s="312">
        <f t="shared" si="0"/>
        <v>4.8904274983705698E-2</v>
      </c>
      <c r="G14" s="306">
        <v>19153</v>
      </c>
      <c r="H14" s="314">
        <f t="shared" si="3"/>
        <v>4.615468647585752E-2</v>
      </c>
      <c r="I14" s="313">
        <f t="shared" si="4"/>
        <v>845</v>
      </c>
      <c r="J14" s="312">
        <f t="shared" si="5"/>
        <v>5.0271924575052231E-2</v>
      </c>
      <c r="K14" s="306">
        <v>17562</v>
      </c>
      <c r="L14" s="314">
        <f t="shared" si="6"/>
        <v>-8.3067926695556848E-2</v>
      </c>
      <c r="M14" s="313">
        <f t="shared" si="7"/>
        <v>-1591</v>
      </c>
      <c r="N14" s="312">
        <f t="shared" si="8"/>
        <v>4.7310402793043251E-2</v>
      </c>
      <c r="O14" s="306">
        <v>18125</v>
      </c>
      <c r="P14" s="314">
        <f t="shared" si="9"/>
        <v>3.2057852180845003E-2</v>
      </c>
      <c r="Q14" s="313">
        <f t="shared" si="10"/>
        <v>563</v>
      </c>
      <c r="R14" s="314">
        <f t="shared" si="1"/>
        <v>0.36083790074329913</v>
      </c>
      <c r="S14" s="313">
        <f t="shared" si="2"/>
        <v>4806</v>
      </c>
      <c r="T14" s="312">
        <f t="shared" si="11"/>
        <v>4.8691050249163856E-2</v>
      </c>
      <c r="V14" s="37"/>
      <c r="W14" s="103"/>
      <c r="AE14" s="1"/>
    </row>
    <row r="15" spans="1:31" s="4" customFormat="1" x14ac:dyDescent="0.25">
      <c r="B15" s="288" t="s">
        <v>49</v>
      </c>
      <c r="C15" s="306">
        <v>7189</v>
      </c>
      <c r="D15" s="306">
        <v>20370</v>
      </c>
      <c r="E15" s="306">
        <v>23072</v>
      </c>
      <c r="F15" s="307">
        <f t="shared" si="0"/>
        <v>6.1629857571775061E-2</v>
      </c>
      <c r="G15" s="306">
        <v>28586</v>
      </c>
      <c r="H15" s="318">
        <f t="shared" si="3"/>
        <v>0.23899098474341196</v>
      </c>
      <c r="I15" s="309">
        <f t="shared" si="4"/>
        <v>5514</v>
      </c>
      <c r="J15" s="307">
        <f t="shared" si="5"/>
        <v>7.5031234579566813E-2</v>
      </c>
      <c r="K15" s="306">
        <v>33767</v>
      </c>
      <c r="L15" s="314">
        <f t="shared" si="6"/>
        <v>0.1812425662911914</v>
      </c>
      <c r="M15" s="313">
        <f t="shared" si="7"/>
        <v>5181</v>
      </c>
      <c r="N15" s="312">
        <f t="shared" si="8"/>
        <v>9.0965173164371457E-2</v>
      </c>
      <c r="O15" s="306">
        <v>13812</v>
      </c>
      <c r="P15" s="314">
        <f t="shared" si="9"/>
        <v>-0.5909615897177718</v>
      </c>
      <c r="Q15" s="313">
        <f t="shared" si="10"/>
        <v>-19955</v>
      </c>
      <c r="R15" s="314">
        <f t="shared" si="1"/>
        <v>0.92126860481290862</v>
      </c>
      <c r="S15" s="313">
        <f t="shared" si="2"/>
        <v>6623</v>
      </c>
      <c r="T15" s="312">
        <f t="shared" si="11"/>
        <v>3.7104595091942132E-2</v>
      </c>
      <c r="V15" s="37"/>
      <c r="W15" s="103"/>
      <c r="AE15" s="1"/>
    </row>
    <row r="16" spans="1:31" s="4" customFormat="1" x14ac:dyDescent="0.25">
      <c r="B16" s="288" t="s">
        <v>207</v>
      </c>
      <c r="C16" s="306">
        <f>C6-SUM(C7:C15)</f>
        <v>35635</v>
      </c>
      <c r="D16" s="306">
        <f>D6-SUM(D7:D15)</f>
        <v>26134</v>
      </c>
      <c r="E16" s="306">
        <f>E6-SUM(E7:E15)</f>
        <v>35869</v>
      </c>
      <c r="F16" s="312">
        <f t="shared" si="0"/>
        <v>9.5813165795856442E-2</v>
      </c>
      <c r="G16" s="306">
        <f>G6-SUM(G7:G15)</f>
        <v>38509</v>
      </c>
      <c r="H16" s="314">
        <f t="shared" si="3"/>
        <v>7.3601159775851022E-2</v>
      </c>
      <c r="I16" s="313">
        <f t="shared" si="4"/>
        <v>2640</v>
      </c>
      <c r="J16" s="312">
        <f t="shared" si="5"/>
        <v>0.10107667433095005</v>
      </c>
      <c r="K16" s="306">
        <f>K6-SUM(K7:K15)</f>
        <v>32273</v>
      </c>
      <c r="L16" s="314">
        <f t="shared" si="6"/>
        <v>-0.16193617076527567</v>
      </c>
      <c r="M16" s="313">
        <f t="shared" si="7"/>
        <v>-6236</v>
      </c>
      <c r="N16" s="312">
        <f t="shared" si="8"/>
        <v>8.6940475420788352E-2</v>
      </c>
      <c r="O16" s="306">
        <f>O6-SUM(O7:O15)</f>
        <v>29513</v>
      </c>
      <c r="P16" s="314">
        <f t="shared" si="9"/>
        <v>-8.5520404052923493E-2</v>
      </c>
      <c r="Q16" s="313">
        <f t="shared" si="10"/>
        <v>-2760</v>
      </c>
      <c r="R16" s="314">
        <f t="shared" si="1"/>
        <v>-0.17179739020625784</v>
      </c>
      <c r="S16" s="313">
        <f t="shared" si="2"/>
        <v>-6122</v>
      </c>
      <c r="T16" s="312">
        <f t="shared" si="11"/>
        <v>7.9283805020886777E-2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186</v>
      </c>
    </row>
    <row r="18" spans="2:31" s="4" customFormat="1" x14ac:dyDescent="0.25">
      <c r="B18" s="202" t="s">
        <v>187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188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189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190</v>
      </c>
      <c r="O44" s="15">
        <v>2021</v>
      </c>
      <c r="P44" s="15" t="s">
        <v>190</v>
      </c>
      <c r="Q44" s="15" t="s">
        <v>191</v>
      </c>
      <c r="R44" s="15" t="s">
        <v>192</v>
      </c>
      <c r="S44" s="15" t="s">
        <v>193</v>
      </c>
      <c r="T44" s="112"/>
      <c r="AE44" s="1"/>
    </row>
    <row r="45" spans="2:31" s="4" customFormat="1" ht="18.75" hidden="1" x14ac:dyDescent="0.3">
      <c r="B45" s="277" t="s">
        <v>177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178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179</v>
      </c>
    </row>
    <row r="47" spans="2:31" ht="15.75" hidden="1" x14ac:dyDescent="0.25">
      <c r="B47" s="280" t="s">
        <v>102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180</v>
      </c>
    </row>
    <row r="48" spans="2:31" s="4" customFormat="1" hidden="1" x14ac:dyDescent="0.25">
      <c r="B48" s="283" t="s">
        <v>105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181</v>
      </c>
    </row>
    <row r="49" spans="2:31" s="4" customFormat="1" hidden="1" x14ac:dyDescent="0.25">
      <c r="B49" s="288" t="s">
        <v>182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183</v>
      </c>
    </row>
    <row r="50" spans="2:31" s="4" customFormat="1" hidden="1" x14ac:dyDescent="0.25">
      <c r="B50" s="288" t="s">
        <v>184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185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186</v>
      </c>
    </row>
    <row r="52" spans="2:31" s="4" customFormat="1" hidden="1" x14ac:dyDescent="0.25">
      <c r="B52" s="66" t="s">
        <v>187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94"/>
      <c r="AE52" s="1" t="s">
        <v>188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5" t="s">
        <v>31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206</v>
      </c>
      <c r="C136" s="281">
        <v>208389</v>
      </c>
      <c r="D136" s="281">
        <v>416048</v>
      </c>
      <c r="E136" s="281">
        <v>423208</v>
      </c>
      <c r="F136" s="281">
        <v>428791</v>
      </c>
      <c r="G136" s="282">
        <f>F136/E136-1</f>
        <v>1.3192094667397569E-2</v>
      </c>
      <c r="H136" s="281">
        <f>F136-E136</f>
        <v>5583</v>
      </c>
      <c r="I136" s="282">
        <f>F136/F$136</f>
        <v>1</v>
      </c>
      <c r="J136" s="281">
        <v>421973</v>
      </c>
      <c r="K136" s="282">
        <f>H136/H$136</f>
        <v>1</v>
      </c>
      <c r="L136" s="282">
        <f>J136/F136-1</f>
        <v>-1.5900520300099585E-2</v>
      </c>
      <c r="M136" s="281">
        <f>J136-F136</f>
        <v>-6818</v>
      </c>
      <c r="N136" s="282">
        <f>J136/C136-1</f>
        <v>1.0249293388806513</v>
      </c>
      <c r="O136" s="281">
        <f>J136-C136</f>
        <v>213584</v>
      </c>
      <c r="Q136" s="37"/>
      <c r="R136" s="103"/>
      <c r="Z136" s="1" t="s">
        <v>179</v>
      </c>
      <c r="AE136"/>
    </row>
    <row r="137" spans="1:31" s="4" customFormat="1" x14ac:dyDescent="0.25">
      <c r="B137" s="288" t="s">
        <v>46</v>
      </c>
      <c r="C137" s="306">
        <v>68476</v>
      </c>
      <c r="D137" s="306">
        <v>126666</v>
      </c>
      <c r="E137" s="306">
        <v>86811</v>
      </c>
      <c r="F137" s="306">
        <v>75374</v>
      </c>
      <c r="G137" s="312">
        <f t="shared" ref="G137:G146" si="12">F137/E137-1</f>
        <v>-0.13174597689232936</v>
      </c>
      <c r="H137" s="320">
        <f t="shared" ref="H137:H146" si="13">F137-E137</f>
        <v>-11437</v>
      </c>
      <c r="I137" s="314">
        <f t="shared" ref="I137:K146" si="14">F137/F$136</f>
        <v>0.17578260737748694</v>
      </c>
      <c r="J137" s="306">
        <v>60650</v>
      </c>
      <c r="K137" s="314">
        <f t="shared" si="14"/>
        <v>-2.0485402113559017</v>
      </c>
      <c r="L137" s="314">
        <f t="shared" ref="L137:L146" si="15">J137/F137-1</f>
        <v>-0.19534587523549229</v>
      </c>
      <c r="M137" s="313">
        <f t="shared" ref="M137:M146" si="16">J137-F137</f>
        <v>-14724</v>
      </c>
      <c r="N137" s="312">
        <f t="shared" ref="N137:N146" si="17">J137/C137-1</f>
        <v>-0.11428821776972953</v>
      </c>
      <c r="O137" s="306">
        <f t="shared" ref="O137:O146" si="18">J137-C137</f>
        <v>-7826</v>
      </c>
      <c r="Q137" s="37"/>
      <c r="R137" s="103"/>
      <c r="Z137" s="1" t="s">
        <v>181</v>
      </c>
    </row>
    <row r="138" spans="1:31" s="4" customFormat="1" x14ac:dyDescent="0.25">
      <c r="B138" s="288" t="s">
        <v>47</v>
      </c>
      <c r="C138" s="306">
        <v>24912</v>
      </c>
      <c r="D138" s="306">
        <v>43482</v>
      </c>
      <c r="E138" s="306">
        <v>48094</v>
      </c>
      <c r="F138" s="306">
        <v>51902</v>
      </c>
      <c r="G138" s="312">
        <f t="shared" si="12"/>
        <v>7.9178275876408799E-2</v>
      </c>
      <c r="H138" s="320">
        <f t="shared" si="13"/>
        <v>3808</v>
      </c>
      <c r="I138" s="314">
        <f t="shared" si="14"/>
        <v>0.12104265248104555</v>
      </c>
      <c r="J138" s="306">
        <v>50245</v>
      </c>
      <c r="K138" s="314">
        <f t="shared" si="14"/>
        <v>0.68207057137739568</v>
      </c>
      <c r="L138" s="314">
        <f t="shared" si="15"/>
        <v>-3.1925552001849655E-2</v>
      </c>
      <c r="M138" s="313">
        <f t="shared" si="16"/>
        <v>-1657</v>
      </c>
      <c r="N138" s="312">
        <f t="shared" si="17"/>
        <v>1.0168994861913938</v>
      </c>
      <c r="O138" s="306">
        <f t="shared" si="18"/>
        <v>25333</v>
      </c>
      <c r="Q138" s="37"/>
      <c r="R138" s="103"/>
      <c r="Z138" s="1"/>
    </row>
    <row r="139" spans="1:31" s="4" customFormat="1" x14ac:dyDescent="0.25">
      <c r="B139" s="288" t="s">
        <v>48</v>
      </c>
      <c r="C139" s="306">
        <v>1658</v>
      </c>
      <c r="D139" s="306">
        <v>2415</v>
      </c>
      <c r="E139" s="306">
        <v>3515</v>
      </c>
      <c r="F139" s="306">
        <v>14811</v>
      </c>
      <c r="G139" s="312">
        <f t="shared" si="12"/>
        <v>3.2136557610241825</v>
      </c>
      <c r="H139" s="321">
        <f t="shared" si="13"/>
        <v>11296</v>
      </c>
      <c r="I139" s="318">
        <f t="shared" si="14"/>
        <v>3.4541303338922691E-2</v>
      </c>
      <c r="J139" s="306">
        <v>7251</v>
      </c>
      <c r="K139" s="318">
        <f t="shared" si="14"/>
        <v>2.0232849722371484</v>
      </c>
      <c r="L139" s="314">
        <f t="shared" si="15"/>
        <v>-0.51043143609479436</v>
      </c>
      <c r="M139" s="313">
        <f t="shared" si="16"/>
        <v>-7560</v>
      </c>
      <c r="N139" s="312">
        <f t="shared" si="17"/>
        <v>3.3733413751507841</v>
      </c>
      <c r="O139" s="306">
        <f t="shared" si="18"/>
        <v>5593</v>
      </c>
      <c r="Q139" s="37"/>
      <c r="R139" s="103"/>
      <c r="Z139" s="1"/>
    </row>
    <row r="140" spans="1:31" s="4" customFormat="1" x14ac:dyDescent="0.25">
      <c r="B140" s="288" t="s">
        <v>50</v>
      </c>
      <c r="C140" s="306">
        <v>28320</v>
      </c>
      <c r="D140" s="306">
        <v>66989</v>
      </c>
      <c r="E140" s="306">
        <v>97391</v>
      </c>
      <c r="F140" s="306">
        <v>92103</v>
      </c>
      <c r="G140" s="312">
        <f t="shared" si="12"/>
        <v>-5.4296598248298134E-2</v>
      </c>
      <c r="H140" s="320">
        <f t="shared" si="13"/>
        <v>-5288</v>
      </c>
      <c r="I140" s="314">
        <f t="shared" si="14"/>
        <v>0.21479695236140683</v>
      </c>
      <c r="J140" s="306">
        <v>106284</v>
      </c>
      <c r="K140" s="314">
        <f t="shared" si="14"/>
        <v>-0.94716102453877848</v>
      </c>
      <c r="L140" s="314">
        <f t="shared" si="15"/>
        <v>0.15396892609361257</v>
      </c>
      <c r="M140" s="313">
        <f t="shared" si="16"/>
        <v>14181</v>
      </c>
      <c r="N140" s="312">
        <f t="shared" si="17"/>
        <v>2.7529661016949154</v>
      </c>
      <c r="O140" s="306">
        <f t="shared" si="18"/>
        <v>77964</v>
      </c>
      <c r="Q140" s="37"/>
      <c r="R140" s="103"/>
      <c r="Z140" s="1"/>
    </row>
    <row r="141" spans="1:31" s="4" customFormat="1" x14ac:dyDescent="0.25">
      <c r="B141" s="288" t="s">
        <v>52</v>
      </c>
      <c r="C141" s="306">
        <v>4963</v>
      </c>
      <c r="D141" s="306">
        <v>24120</v>
      </c>
      <c r="E141" s="306">
        <v>16359</v>
      </c>
      <c r="F141" s="306">
        <v>19520</v>
      </c>
      <c r="G141" s="312">
        <f t="shared" si="12"/>
        <v>0.19322696986368371</v>
      </c>
      <c r="H141" s="321">
        <f t="shared" si="13"/>
        <v>3161</v>
      </c>
      <c r="I141" s="318">
        <f t="shared" si="14"/>
        <v>4.5523343540326174E-2</v>
      </c>
      <c r="J141" s="306">
        <v>16099</v>
      </c>
      <c r="K141" s="318">
        <f t="shared" si="14"/>
        <v>0.56618305570481819</v>
      </c>
      <c r="L141" s="314">
        <f t="shared" si="15"/>
        <v>-0.17525614754098362</v>
      </c>
      <c r="M141" s="313">
        <f t="shared" si="16"/>
        <v>-3421</v>
      </c>
      <c r="N141" s="312">
        <f t="shared" si="17"/>
        <v>2.243804150715293</v>
      </c>
      <c r="O141" s="306">
        <f t="shared" si="18"/>
        <v>11136</v>
      </c>
      <c r="Q141" s="37"/>
      <c r="R141" s="103"/>
      <c r="Z141" s="1"/>
    </row>
    <row r="142" spans="1:31" s="4" customFormat="1" x14ac:dyDescent="0.25">
      <c r="B142" s="288" t="s">
        <v>53</v>
      </c>
      <c r="C142" s="306">
        <v>27791</v>
      </c>
      <c r="D142" s="306">
        <v>53247</v>
      </c>
      <c r="E142" s="306">
        <v>69865</v>
      </c>
      <c r="F142" s="306">
        <v>66121</v>
      </c>
      <c r="G142" s="312">
        <f t="shared" si="12"/>
        <v>-5.3589064624633198E-2</v>
      </c>
      <c r="H142" s="320">
        <f t="shared" si="13"/>
        <v>-3744</v>
      </c>
      <c r="I142" s="314">
        <f t="shared" si="14"/>
        <v>0.1542033298273518</v>
      </c>
      <c r="J142" s="306">
        <v>75793</v>
      </c>
      <c r="K142" s="314">
        <f t="shared" si="14"/>
        <v>-0.67060720042987643</v>
      </c>
      <c r="L142" s="314">
        <f t="shared" si="15"/>
        <v>0.14627727953297742</v>
      </c>
      <c r="M142" s="313">
        <f t="shared" si="16"/>
        <v>9672</v>
      </c>
      <c r="N142" s="312">
        <f t="shared" si="17"/>
        <v>1.7272498290813574</v>
      </c>
      <c r="O142" s="306">
        <f t="shared" si="18"/>
        <v>48002</v>
      </c>
      <c r="Q142" s="37"/>
      <c r="R142" s="103"/>
      <c r="Z142" s="1"/>
    </row>
    <row r="143" spans="1:31" s="4" customFormat="1" x14ac:dyDescent="0.25">
      <c r="B143" s="288" t="s">
        <v>51</v>
      </c>
      <c r="C143" s="306">
        <v>8684</v>
      </c>
      <c r="D143" s="306">
        <v>11001</v>
      </c>
      <c r="E143" s="306">
        <v>16289</v>
      </c>
      <c r="F143" s="306">
        <v>12024</v>
      </c>
      <c r="G143" s="312">
        <f t="shared" si="12"/>
        <v>-0.261833138928111</v>
      </c>
      <c r="H143" s="321">
        <f t="shared" si="13"/>
        <v>-4265</v>
      </c>
      <c r="I143" s="318">
        <f t="shared" si="14"/>
        <v>2.8041633336520589E-2</v>
      </c>
      <c r="J143" s="306">
        <v>11877</v>
      </c>
      <c r="K143" s="318">
        <f t="shared" si="14"/>
        <v>-0.76392620454952531</v>
      </c>
      <c r="L143" s="314">
        <f t="shared" si="15"/>
        <v>-1.2225548902195627E-2</v>
      </c>
      <c r="M143" s="313">
        <f t="shared" si="16"/>
        <v>-147</v>
      </c>
      <c r="N143" s="312">
        <f t="shared" si="17"/>
        <v>0.36768770152003682</v>
      </c>
      <c r="O143" s="306">
        <f t="shared" si="18"/>
        <v>3193</v>
      </c>
      <c r="Q143" s="37"/>
      <c r="R143" s="103"/>
      <c r="Z143" s="1"/>
    </row>
    <row r="144" spans="1:31" s="4" customFormat="1" x14ac:dyDescent="0.25">
      <c r="B144" s="288" t="s">
        <v>54</v>
      </c>
      <c r="C144" s="306">
        <v>20058</v>
      </c>
      <c r="D144" s="306">
        <v>34195</v>
      </c>
      <c r="E144" s="306">
        <v>19943</v>
      </c>
      <c r="F144" s="306">
        <v>20738</v>
      </c>
      <c r="G144" s="312">
        <f t="shared" si="12"/>
        <v>3.9863611292182632E-2</v>
      </c>
      <c r="H144" s="320">
        <f t="shared" si="13"/>
        <v>795</v>
      </c>
      <c r="I144" s="314">
        <f t="shared" si="14"/>
        <v>4.8363888234594477E-2</v>
      </c>
      <c r="J144" s="306">
        <v>18376</v>
      </c>
      <c r="K144" s="314">
        <f t="shared" si="14"/>
        <v>0.14239656098871575</v>
      </c>
      <c r="L144" s="314">
        <f t="shared" si="15"/>
        <v>-0.1138971935577201</v>
      </c>
      <c r="M144" s="313">
        <f t="shared" si="16"/>
        <v>-2362</v>
      </c>
      <c r="N144" s="312">
        <f t="shared" si="17"/>
        <v>-8.3856815235816118E-2</v>
      </c>
      <c r="O144" s="306">
        <f t="shared" si="18"/>
        <v>-1682</v>
      </c>
      <c r="Q144" s="37"/>
      <c r="R144" s="103"/>
      <c r="Z144" s="1"/>
    </row>
    <row r="145" spans="2:31" s="4" customFormat="1" x14ac:dyDescent="0.25">
      <c r="B145" s="288" t="s">
        <v>49</v>
      </c>
      <c r="C145" s="306">
        <v>8930</v>
      </c>
      <c r="D145" s="306">
        <v>21567</v>
      </c>
      <c r="E145" s="306">
        <v>23338</v>
      </c>
      <c r="F145" s="306">
        <v>31999</v>
      </c>
      <c r="G145" s="312">
        <f t="shared" si="12"/>
        <v>0.37111149198731685</v>
      </c>
      <c r="H145" s="321">
        <f t="shared" si="13"/>
        <v>8661</v>
      </c>
      <c r="I145" s="318">
        <f t="shared" si="14"/>
        <v>7.4626099894820552E-2</v>
      </c>
      <c r="J145" s="306">
        <v>37562</v>
      </c>
      <c r="K145" s="318">
        <f t="shared" si="14"/>
        <v>1.5513164965072541</v>
      </c>
      <c r="L145" s="314">
        <f t="shared" si="15"/>
        <v>0.17384918278696215</v>
      </c>
      <c r="M145" s="313">
        <f t="shared" si="16"/>
        <v>5563</v>
      </c>
      <c r="N145" s="312">
        <f t="shared" si="17"/>
        <v>3.2062709966405372</v>
      </c>
      <c r="O145" s="306">
        <f t="shared" si="18"/>
        <v>28632</v>
      </c>
      <c r="Q145" s="37"/>
      <c r="R145" s="103"/>
      <c r="Z145" s="1"/>
    </row>
    <row r="146" spans="2:31" s="4" customFormat="1" x14ac:dyDescent="0.25">
      <c r="B146" s="288" t="s">
        <v>207</v>
      </c>
      <c r="C146" s="306">
        <f>C136-SUM(C137:C145)</f>
        <v>14597</v>
      </c>
      <c r="D146" s="306">
        <f>D136-SUM(D137:D145)</f>
        <v>32366</v>
      </c>
      <c r="E146" s="306">
        <f>E136-SUM(E137:E145)</f>
        <v>41603</v>
      </c>
      <c r="F146" s="306">
        <f>F136-SUM(F137:F145)</f>
        <v>44199</v>
      </c>
      <c r="G146" s="312">
        <f t="shared" si="12"/>
        <v>6.2399346200995076E-2</v>
      </c>
      <c r="H146" s="320">
        <f t="shared" si="13"/>
        <v>2596</v>
      </c>
      <c r="I146" s="314">
        <f t="shared" si="14"/>
        <v>0.10307818960752441</v>
      </c>
      <c r="J146" s="306">
        <f>J136-SUM(J137:J145)</f>
        <v>37836</v>
      </c>
      <c r="K146" s="314">
        <f t="shared" si="14"/>
        <v>0.46498298405874977</v>
      </c>
      <c r="L146" s="314">
        <f t="shared" si="15"/>
        <v>-0.14396253308898388</v>
      </c>
      <c r="M146" s="313">
        <f t="shared" si="16"/>
        <v>-6363</v>
      </c>
      <c r="N146" s="312">
        <f t="shared" si="17"/>
        <v>1.592039460163047</v>
      </c>
      <c r="O146" s="306">
        <f t="shared" si="18"/>
        <v>23239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186</v>
      </c>
    </row>
    <row r="148" spans="2:31" s="4" customFormat="1" x14ac:dyDescent="0.25">
      <c r="B148" s="202" t="s">
        <v>187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188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59975-A35A-4516-8CB6-688C9DBBEDB7}">
  <sheetPr>
    <tabColor theme="4" tint="0.39997558519241921"/>
  </sheetPr>
  <dimension ref="A4:E24"/>
  <sheetViews>
    <sheetView showGridLines="0" zoomScaleNormal="100" workbookViewId="0">
      <selection activeCell="D5" sqref="D5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318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210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35821</v>
      </c>
      <c r="D8" s="147">
        <f t="shared" ref="D8:D21" si="0">C8/C9-1</f>
        <v>-5.0394994963151474E-2</v>
      </c>
    </row>
    <row r="9" spans="1:5" x14ac:dyDescent="0.25">
      <c r="A9" s="1"/>
      <c r="B9" s="145">
        <v>2023</v>
      </c>
      <c r="C9" s="146">
        <v>37722</v>
      </c>
      <c r="D9" s="147">
        <f t="shared" si="0"/>
        <v>0.11573841284864983</v>
      </c>
    </row>
    <row r="10" spans="1:5" x14ac:dyDescent="0.25">
      <c r="A10" s="1"/>
      <c r="B10" s="145">
        <v>2022</v>
      </c>
      <c r="C10" s="146">
        <v>33809</v>
      </c>
      <c r="D10" s="147">
        <f t="shared" si="0"/>
        <v>0.55572427756304066</v>
      </c>
    </row>
    <row r="11" spans="1:5" x14ac:dyDescent="0.25">
      <c r="A11" s="1"/>
      <c r="B11" s="145">
        <v>2021</v>
      </c>
      <c r="C11" s="146">
        <v>21732</v>
      </c>
      <c r="D11" s="147">
        <f t="shared" si="0"/>
        <v>0.35630031829245468</v>
      </c>
    </row>
    <row r="12" spans="1:5" x14ac:dyDescent="0.25">
      <c r="A12" s="1" t="s">
        <v>74</v>
      </c>
      <c r="B12" s="145">
        <v>2020</v>
      </c>
      <c r="C12" s="146">
        <v>16023</v>
      </c>
      <c r="D12" s="147">
        <f t="shared" si="0"/>
        <v>-0.5683342762466661</v>
      </c>
    </row>
    <row r="13" spans="1:5" x14ac:dyDescent="0.25">
      <c r="A13" s="1" t="s">
        <v>76</v>
      </c>
      <c r="B13" s="145">
        <v>2019</v>
      </c>
      <c r="C13" s="146">
        <v>37119</v>
      </c>
      <c r="D13" s="147">
        <f t="shared" si="0"/>
        <v>8.2754798436497357E-2</v>
      </c>
    </row>
    <row r="14" spans="1:5" x14ac:dyDescent="0.25">
      <c r="A14" s="1" t="s">
        <v>78</v>
      </c>
      <c r="B14" s="145">
        <v>2018</v>
      </c>
      <c r="C14" s="146">
        <v>34282</v>
      </c>
      <c r="D14" s="147">
        <f t="shared" si="0"/>
        <v>-8.1059347021926742E-2</v>
      </c>
    </row>
    <row r="15" spans="1:5" x14ac:dyDescent="0.25">
      <c r="A15" s="1" t="s">
        <v>80</v>
      </c>
      <c r="B15" s="145">
        <v>2017</v>
      </c>
      <c r="C15" s="146">
        <v>37306</v>
      </c>
      <c r="D15" s="147">
        <f t="shared" si="0"/>
        <v>5.2533574088703405E-2</v>
      </c>
    </row>
    <row r="16" spans="1:5" x14ac:dyDescent="0.25">
      <c r="A16" s="1" t="s">
        <v>82</v>
      </c>
      <c r="B16" s="145">
        <v>2016</v>
      </c>
      <c r="C16" s="146">
        <v>35444</v>
      </c>
      <c r="D16" s="147">
        <f>C16/C17-1</f>
        <v>0.40885602989108838</v>
      </c>
    </row>
    <row r="17" spans="1:4" x14ac:dyDescent="0.25">
      <c r="A17" s="1" t="s">
        <v>84</v>
      </c>
      <c r="B17" s="145">
        <v>2015</v>
      </c>
      <c r="C17" s="146">
        <v>25158</v>
      </c>
      <c r="D17" s="147">
        <f t="shared" si="0"/>
        <v>0.3101077956569287</v>
      </c>
    </row>
    <row r="18" spans="1:4" x14ac:dyDescent="0.25">
      <c r="A18" s="1" t="s">
        <v>86</v>
      </c>
      <c r="B18" s="145">
        <v>2014</v>
      </c>
      <c r="C18" s="146">
        <v>19203</v>
      </c>
      <c r="D18" s="147">
        <f t="shared" si="0"/>
        <v>0.14726968574501131</v>
      </c>
    </row>
    <row r="19" spans="1:4" x14ac:dyDescent="0.25">
      <c r="A19" s="1" t="s">
        <v>88</v>
      </c>
      <c r="B19" s="145">
        <v>2013</v>
      </c>
      <c r="C19" s="146">
        <v>16738</v>
      </c>
      <c r="D19" s="147">
        <f t="shared" si="0"/>
        <v>-0.17757468553459121</v>
      </c>
    </row>
    <row r="20" spans="1:4" x14ac:dyDescent="0.25">
      <c r="A20" s="1" t="s">
        <v>90</v>
      </c>
      <c r="B20" s="145">
        <v>2012</v>
      </c>
      <c r="C20" s="146">
        <v>20352</v>
      </c>
      <c r="D20" s="147">
        <f>C20/C21-1</f>
        <v>2.5806451612903292E-2</v>
      </c>
    </row>
    <row r="21" spans="1:4" x14ac:dyDescent="0.25">
      <c r="A21" s="1" t="s">
        <v>92</v>
      </c>
      <c r="B21" s="145">
        <v>2011</v>
      </c>
      <c r="C21" s="146">
        <v>19840</v>
      </c>
      <c r="D21" s="147">
        <f t="shared" si="0"/>
        <v>-0.258234568362807</v>
      </c>
    </row>
    <row r="22" spans="1:4" x14ac:dyDescent="0.25">
      <c r="A22" s="1" t="s">
        <v>94</v>
      </c>
      <c r="B22" s="145">
        <v>2010</v>
      </c>
      <c r="C22" s="146">
        <v>26747</v>
      </c>
      <c r="D22" s="147"/>
    </row>
    <row r="23" spans="1:4" ht="6" customHeight="1" x14ac:dyDescent="0.25"/>
    <row r="24" spans="1:4" x14ac:dyDescent="0.25">
      <c r="B24" s="131" t="s">
        <v>57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D112B-3860-4B92-AFAF-0AB3F0DB8AE1}">
  <sheetPr>
    <tabColor theme="4" tint="0.39997558519241921"/>
  </sheetPr>
  <dimension ref="A4:E24"/>
  <sheetViews>
    <sheetView showGridLines="0" zoomScaleNormal="100" workbookViewId="0">
      <selection activeCell="D5" sqref="D5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319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211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23944</v>
      </c>
      <c r="D8" s="147">
        <f t="shared" ref="D8:D21" si="0">C8/C9-1</f>
        <v>-6.8254338859055186E-2</v>
      </c>
    </row>
    <row r="9" spans="1:5" x14ac:dyDescent="0.25">
      <c r="A9" s="1"/>
      <c r="B9" s="145">
        <v>2023</v>
      </c>
      <c r="C9" s="146">
        <v>25698</v>
      </c>
      <c r="D9" s="147">
        <f t="shared" si="0"/>
        <v>0.46678082191780823</v>
      </c>
    </row>
    <row r="10" spans="1:5" x14ac:dyDescent="0.25">
      <c r="A10" s="1"/>
      <c r="B10" s="145">
        <v>2022</v>
      </c>
      <c r="C10" s="146">
        <v>17520</v>
      </c>
      <c r="D10" s="147">
        <f t="shared" si="0"/>
        <v>0.63265306122448983</v>
      </c>
    </row>
    <row r="11" spans="1:5" x14ac:dyDescent="0.25">
      <c r="A11" s="1"/>
      <c r="B11" s="145">
        <v>2021</v>
      </c>
      <c r="C11" s="146">
        <v>10731</v>
      </c>
      <c r="D11" s="147">
        <f t="shared" si="0"/>
        <v>0.46218830903392827</v>
      </c>
    </row>
    <row r="12" spans="1:5" x14ac:dyDescent="0.25">
      <c r="A12" s="1" t="s">
        <v>74</v>
      </c>
      <c r="B12" s="145">
        <v>2020</v>
      </c>
      <c r="C12" s="146">
        <v>7339</v>
      </c>
      <c r="D12" s="147">
        <f t="shared" si="0"/>
        <v>-0.59150617833685848</v>
      </c>
    </row>
    <row r="13" spans="1:5" x14ac:dyDescent="0.25">
      <c r="A13" s="1" t="s">
        <v>76</v>
      </c>
      <c r="B13" s="145">
        <v>2019</v>
      </c>
      <c r="C13" s="146">
        <v>17966</v>
      </c>
      <c r="D13" s="147">
        <f t="shared" si="0"/>
        <v>2.5573695627354676E-2</v>
      </c>
    </row>
    <row r="14" spans="1:5" x14ac:dyDescent="0.25">
      <c r="A14" s="1" t="s">
        <v>78</v>
      </c>
      <c r="B14" s="145">
        <v>2018</v>
      </c>
      <c r="C14" s="146">
        <v>17518</v>
      </c>
      <c r="D14" s="147">
        <f t="shared" si="0"/>
        <v>-0.20861944344054928</v>
      </c>
    </row>
    <row r="15" spans="1:5" x14ac:dyDescent="0.25">
      <c r="A15" s="1" t="s">
        <v>80</v>
      </c>
      <c r="B15" s="145">
        <v>2017</v>
      </c>
      <c r="C15" s="146">
        <v>22136</v>
      </c>
      <c r="D15" s="147">
        <f>C15/C16-1</f>
        <v>1.1700182815356452E-2</v>
      </c>
    </row>
    <row r="16" spans="1:5" x14ac:dyDescent="0.25">
      <c r="A16" s="1" t="s">
        <v>82</v>
      </c>
      <c r="B16" s="145">
        <v>2016</v>
      </c>
      <c r="C16" s="146">
        <v>21880</v>
      </c>
      <c r="D16" s="147">
        <f>C16/C17-1</f>
        <v>1.9014719533218405</v>
      </c>
    </row>
    <row r="17" spans="1:4" x14ac:dyDescent="0.25">
      <c r="A17" s="1" t="s">
        <v>84</v>
      </c>
      <c r="B17" s="145">
        <v>2015</v>
      </c>
      <c r="C17" s="146">
        <v>7541</v>
      </c>
      <c r="D17" s="147">
        <f t="shared" si="0"/>
        <v>-0.12537694270470889</v>
      </c>
    </row>
    <row r="18" spans="1:4" x14ac:dyDescent="0.25">
      <c r="A18" s="1" t="s">
        <v>86</v>
      </c>
      <c r="B18" s="145">
        <v>2014</v>
      </c>
      <c r="C18" s="146">
        <v>8622</v>
      </c>
      <c r="D18" s="147">
        <f t="shared" si="0"/>
        <v>0.41972665898238093</v>
      </c>
    </row>
    <row r="19" spans="1:4" x14ac:dyDescent="0.25">
      <c r="A19" s="1" t="s">
        <v>88</v>
      </c>
      <c r="B19" s="145">
        <v>2013</v>
      </c>
      <c r="C19" s="146">
        <v>6073</v>
      </c>
      <c r="D19" s="147">
        <f t="shared" si="0"/>
        <v>-0.50992575855390576</v>
      </c>
    </row>
    <row r="20" spans="1:4" x14ac:dyDescent="0.25">
      <c r="A20" s="1" t="s">
        <v>90</v>
      </c>
      <c r="B20" s="145">
        <v>2012</v>
      </c>
      <c r="C20" s="146">
        <v>12392</v>
      </c>
      <c r="D20" s="147">
        <f>C20/C21-1</f>
        <v>2.8688729316266</v>
      </c>
    </row>
    <row r="21" spans="1:4" x14ac:dyDescent="0.25">
      <c r="A21" s="1" t="s">
        <v>92</v>
      </c>
      <c r="B21" s="145">
        <v>2011</v>
      </c>
      <c r="C21" s="146">
        <v>3203</v>
      </c>
      <c r="D21" s="147">
        <f t="shared" si="0"/>
        <v>-0.25250875145857643</v>
      </c>
    </row>
    <row r="22" spans="1:4" x14ac:dyDescent="0.25">
      <c r="A22" s="1" t="s">
        <v>94</v>
      </c>
      <c r="B22" s="145">
        <v>2010</v>
      </c>
      <c r="C22" s="146">
        <v>4285</v>
      </c>
      <c r="D22" s="147"/>
    </row>
    <row r="23" spans="1:4" ht="6" customHeight="1" x14ac:dyDescent="0.25"/>
    <row r="24" spans="1:4" x14ac:dyDescent="0.25">
      <c r="B24" s="131" t="s">
        <v>57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9B579-325D-45DC-BBF6-FA01FF01A8F6}">
  <sheetPr>
    <tabColor theme="4" tint="0.39997558519241921"/>
  </sheetPr>
  <dimension ref="A4:E24"/>
  <sheetViews>
    <sheetView showGridLines="0" zoomScaleNormal="100" workbookViewId="0">
      <selection activeCell="D5" sqref="D5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320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212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11877</v>
      </c>
      <c r="D8" s="147">
        <f t="shared" ref="D8:D21" si="0">C8/C9-1</f>
        <v>-1.2225548902195627E-2</v>
      </c>
    </row>
    <row r="9" spans="1:5" x14ac:dyDescent="0.25">
      <c r="A9" s="1"/>
      <c r="B9" s="145">
        <v>2023</v>
      </c>
      <c r="C9" s="146">
        <v>12024</v>
      </c>
      <c r="D9" s="147">
        <f t="shared" si="0"/>
        <v>-0.261833138928111</v>
      </c>
    </row>
    <row r="10" spans="1:5" x14ac:dyDescent="0.25">
      <c r="A10" s="1"/>
      <c r="B10" s="145">
        <v>2022</v>
      </c>
      <c r="C10" s="146">
        <v>16289</v>
      </c>
      <c r="D10" s="147">
        <f t="shared" si="0"/>
        <v>0.48068357422052532</v>
      </c>
    </row>
    <row r="11" spans="1:5" x14ac:dyDescent="0.25">
      <c r="A11" s="1"/>
      <c r="B11" s="145">
        <v>2021</v>
      </c>
      <c r="C11" s="146">
        <v>11001</v>
      </c>
      <c r="D11" s="147">
        <f t="shared" si="0"/>
        <v>0.26681252878857675</v>
      </c>
    </row>
    <row r="12" spans="1:5" x14ac:dyDescent="0.25">
      <c r="A12" s="1" t="s">
        <v>74</v>
      </c>
      <c r="B12" s="145">
        <v>2020</v>
      </c>
      <c r="C12" s="146">
        <v>8684</v>
      </c>
      <c r="D12" s="147">
        <f t="shared" si="0"/>
        <v>-0.54659844410797265</v>
      </c>
    </row>
    <row r="13" spans="1:5" x14ac:dyDescent="0.25">
      <c r="A13" s="1" t="s">
        <v>76</v>
      </c>
      <c r="B13" s="145">
        <v>2019</v>
      </c>
      <c r="C13" s="146">
        <v>19153</v>
      </c>
      <c r="D13" s="147">
        <f t="shared" si="0"/>
        <v>0.14250775471247912</v>
      </c>
    </row>
    <row r="14" spans="1:5" x14ac:dyDescent="0.25">
      <c r="A14" s="1" t="s">
        <v>78</v>
      </c>
      <c r="B14" s="145">
        <v>2018</v>
      </c>
      <c r="C14" s="146">
        <v>16764</v>
      </c>
      <c r="D14" s="147">
        <f t="shared" si="0"/>
        <v>0.10507580751483192</v>
      </c>
    </row>
    <row r="15" spans="1:5" x14ac:dyDescent="0.25">
      <c r="A15" s="1" t="s">
        <v>80</v>
      </c>
      <c r="B15" s="145">
        <v>2017</v>
      </c>
      <c r="C15" s="146">
        <v>15170</v>
      </c>
      <c r="D15" s="147">
        <f>C15/C16-1</f>
        <v>0.1184016514302566</v>
      </c>
    </row>
    <row r="16" spans="1:5" x14ac:dyDescent="0.25">
      <c r="A16" s="1" t="s">
        <v>82</v>
      </c>
      <c r="B16" s="145">
        <v>2016</v>
      </c>
      <c r="C16" s="146">
        <v>13564</v>
      </c>
      <c r="D16" s="147">
        <f>C16/C17-1</f>
        <v>-0.23006187205540107</v>
      </c>
    </row>
    <row r="17" spans="1:4" x14ac:dyDescent="0.25">
      <c r="A17" s="1" t="s">
        <v>84</v>
      </c>
      <c r="B17" s="145">
        <v>2015</v>
      </c>
      <c r="C17" s="146">
        <v>17617</v>
      </c>
      <c r="D17" s="147">
        <f t="shared" si="0"/>
        <v>0.6649655042056517</v>
      </c>
    </row>
    <row r="18" spans="1:4" x14ac:dyDescent="0.25">
      <c r="A18" s="1" t="s">
        <v>86</v>
      </c>
      <c r="B18" s="145">
        <v>2014</v>
      </c>
      <c r="C18" s="146">
        <v>10581</v>
      </c>
      <c r="D18" s="147">
        <f t="shared" si="0"/>
        <v>-7.8762306610408173E-3</v>
      </c>
    </row>
    <row r="19" spans="1:4" x14ac:dyDescent="0.25">
      <c r="A19" s="1" t="s">
        <v>88</v>
      </c>
      <c r="B19" s="145">
        <v>2013</v>
      </c>
      <c r="C19" s="146">
        <v>10665</v>
      </c>
      <c r="D19" s="147">
        <f t="shared" si="0"/>
        <v>0.33982412060301503</v>
      </c>
    </row>
    <row r="20" spans="1:4" x14ac:dyDescent="0.25">
      <c r="A20" s="1" t="s">
        <v>90</v>
      </c>
      <c r="B20" s="145">
        <v>2012</v>
      </c>
      <c r="C20" s="146">
        <v>7960</v>
      </c>
      <c r="D20" s="147">
        <f>C20/C21-1</f>
        <v>-0.52154835607381145</v>
      </c>
    </row>
    <row r="21" spans="1:4" x14ac:dyDescent="0.25">
      <c r="A21" s="1" t="s">
        <v>92</v>
      </c>
      <c r="B21" s="145">
        <v>2011</v>
      </c>
      <c r="C21" s="146">
        <v>16637</v>
      </c>
      <c r="D21" s="147">
        <f t="shared" si="0"/>
        <v>-0.25932686314664766</v>
      </c>
    </row>
    <row r="22" spans="1:4" x14ac:dyDescent="0.25">
      <c r="A22" s="1" t="s">
        <v>94</v>
      </c>
      <c r="B22" s="145">
        <v>2010</v>
      </c>
      <c r="C22" s="146">
        <v>22462</v>
      </c>
      <c r="D22" s="147"/>
    </row>
    <row r="23" spans="1:4" ht="6" customHeight="1" x14ac:dyDescent="0.25"/>
    <row r="24" spans="1:4" x14ac:dyDescent="0.25">
      <c r="B24" s="131" t="s">
        <v>57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47AEC-E58B-430F-9C9D-C71C4069D156}">
  <sheetPr>
    <tabColor rgb="FF92D050"/>
  </sheetPr>
  <dimension ref="B1:W54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10" width="10.7109375" customWidth="1"/>
    <col min="11" max="11" width="12" customWidth="1"/>
    <col min="12" max="12" width="10.7109375" customWidth="1"/>
    <col min="13" max="18" width="12.28515625" customWidth="1"/>
    <col min="19" max="19" width="10.7109375" customWidth="1"/>
    <col min="20" max="20" width="13" customWidth="1"/>
    <col min="21" max="21" width="10.7109375" customWidth="1"/>
    <col min="24" max="24" width="14.42578125" customWidth="1"/>
    <col min="25" max="26" width="7.85546875" customWidth="1"/>
    <col min="27" max="27" width="8.140625" customWidth="1"/>
    <col min="28" max="28" width="9" customWidth="1"/>
    <col min="29" max="30" width="9.42578125" customWidth="1"/>
  </cols>
  <sheetData>
    <row r="1" spans="2:23" ht="42.75" customHeight="1" x14ac:dyDescent="0.25"/>
    <row r="3" spans="2:23" ht="30.75" customHeight="1" thickBot="1" x14ac:dyDescent="0.3">
      <c r="B3" s="106" t="str">
        <f>CONCATENATE("Plazas alojativas en funcionamiento Tenerife y municipios")</f>
        <v>Plazas alojativas en funcionamiento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</row>
    <row r="4" spans="2:23" ht="6.95" customHeight="1" x14ac:dyDescent="0.25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7"/>
      <c r="P4" s="107"/>
      <c r="Q4" s="107"/>
      <c r="R4" s="108"/>
      <c r="S4" s="108"/>
      <c r="T4" s="108"/>
      <c r="U4" s="108"/>
      <c r="V4" s="108"/>
      <c r="W4" s="108"/>
    </row>
    <row r="5" spans="2:23" ht="15.75" thickBot="1" x14ac:dyDescent="0.3">
      <c r="B5" s="109"/>
      <c r="C5" s="110" t="s">
        <v>60</v>
      </c>
      <c r="D5" s="110"/>
      <c r="E5" s="110"/>
      <c r="F5" s="110"/>
      <c r="G5" s="110"/>
      <c r="H5" s="110"/>
      <c r="I5" s="111"/>
      <c r="J5" s="111"/>
      <c r="K5" s="111"/>
      <c r="L5" s="111"/>
      <c r="M5" s="112"/>
      <c r="N5" s="113" t="s">
        <v>61</v>
      </c>
      <c r="O5" s="113"/>
      <c r="P5" s="113"/>
      <c r="Q5" s="113"/>
      <c r="R5" s="113"/>
      <c r="S5" s="111"/>
      <c r="T5" s="111"/>
      <c r="U5" s="111"/>
      <c r="V5" s="111"/>
      <c r="W5" s="112"/>
    </row>
    <row r="6" spans="2:23" ht="59.25" customHeight="1" x14ac:dyDescent="0.25">
      <c r="B6" s="114"/>
      <c r="C6" s="15">
        <v>2019</v>
      </c>
      <c r="D6" s="15">
        <v>2020</v>
      </c>
      <c r="E6" s="15">
        <v>2021</v>
      </c>
      <c r="F6" s="15">
        <v>2022</v>
      </c>
      <c r="G6" s="15">
        <v>2023</v>
      </c>
      <c r="H6" s="15">
        <v>2024</v>
      </c>
      <c r="I6" s="115" t="str">
        <f>CONCATENATE("var. ",RIGHT(H6,2),"/",RIGHT(G6,2))</f>
        <v>var. 24/23</v>
      </c>
      <c r="J6" s="115" t="str">
        <f>CONCATENATE("var. ",RIGHT(H6,2),"/",RIGHT(D6,2))</f>
        <v>var. 24/20</v>
      </c>
      <c r="K6" s="115" t="str">
        <f>CONCATENATE("dif. ",RIGHT(H6,2),"/",RIGHT(G6,2))</f>
        <v>dif. 24/23</v>
      </c>
      <c r="L6" s="115" t="str">
        <f>CONCATENATE("dif. ",RIGHT(H6,2),"/",RIGHT(D6,2))</f>
        <v>dif. 24/20</v>
      </c>
      <c r="M6" s="15" t="str">
        <f>CONCATENATE("cuota/ total isla ",RIGHT(H6,2))</f>
        <v>cuota/ total isla 24</v>
      </c>
      <c r="N6" s="116" t="s">
        <v>228</v>
      </c>
      <c r="O6" s="116" t="s">
        <v>229</v>
      </c>
      <c r="P6" s="116" t="s">
        <v>230</v>
      </c>
      <c r="Q6" s="116" t="s">
        <v>231</v>
      </c>
      <c r="R6" s="116" t="s">
        <v>232</v>
      </c>
      <c r="S6" s="115" t="str">
        <f>CONCATENATE("var. ",RIGHT(R6,2),"/",RIGHT(Q6,2))</f>
        <v>var. 25/24</v>
      </c>
      <c r="T6" s="115" t="str">
        <f>CONCATENATE("var. ",RIGHT(R6,2),"/",RIGHT(N6,2))</f>
        <v>var. 25/21</v>
      </c>
      <c r="U6" s="115" t="str">
        <f>CONCATENATE("dif. ",RIGHT(R6,2),"/",RIGHT(Q6,2))</f>
        <v>dif. 25/24</v>
      </c>
      <c r="V6" s="115" t="str">
        <f>CONCATENATE("dif. ",RIGHT(R6,2),"/",RIGHT(N6,2))</f>
        <v>dif. 25/21</v>
      </c>
      <c r="W6" s="112" t="str">
        <f>CONCATENATE("cuota/ total isla ",RIGHT(R6,2))</f>
        <v>cuota/ total isla 25</v>
      </c>
    </row>
    <row r="7" spans="2:23" x14ac:dyDescent="0.25">
      <c r="B7" s="117" t="s">
        <v>45</v>
      </c>
      <c r="C7" s="118">
        <v>132144</v>
      </c>
      <c r="D7" s="118">
        <v>66601</v>
      </c>
      <c r="E7" s="118">
        <v>82456</v>
      </c>
      <c r="F7" s="118">
        <v>123696</v>
      </c>
      <c r="G7" s="118">
        <v>125536.00000000001</v>
      </c>
      <c r="H7" s="118">
        <v>127400</v>
      </c>
      <c r="I7" s="119">
        <f t="shared" ref="I7:I52" si="0">IFERROR(H7/G7-1,"-")</f>
        <v>1.4848330359418682E-2</v>
      </c>
      <c r="J7" s="119">
        <f t="shared" ref="J7:J52" si="1">IFERROR(H7/D7-1,"-")</f>
        <v>0.91288419092806405</v>
      </c>
      <c r="K7" s="118">
        <f t="shared" ref="K7:K52" si="2">IFERROR(H7-G7,"-")</f>
        <v>1863.9999999999854</v>
      </c>
      <c r="L7" s="118">
        <f t="shared" ref="L7:L52" si="3">IFERROR(H7-D7,"-")</f>
        <v>60799</v>
      </c>
      <c r="M7" s="119">
        <f>H7/H7</f>
        <v>1</v>
      </c>
      <c r="N7" s="118">
        <v>113857</v>
      </c>
      <c r="O7" s="118">
        <v>124421</v>
      </c>
      <c r="P7" s="118">
        <v>126023</v>
      </c>
      <c r="Q7" s="118">
        <v>128502.99999999999</v>
      </c>
      <c r="R7" s="118">
        <v>126315</v>
      </c>
      <c r="S7" s="119">
        <f t="shared" ref="S7:S52" si="4">IFERROR(R7/Q7-1,"-")</f>
        <v>-1.7026839840314945E-2</v>
      </c>
      <c r="T7" s="119">
        <f t="shared" ref="T7:T52" si="5">IFERROR(R7/N7-1,"-")</f>
        <v>0.10941795410031885</v>
      </c>
      <c r="U7" s="118">
        <f t="shared" ref="U7:U52" si="6">IFERROR(R7-Q7,"-")</f>
        <v>-2187.9999999999854</v>
      </c>
      <c r="V7" s="118">
        <f t="shared" ref="V7:V52" si="7">IFERROR(R7-N7,"-")</f>
        <v>12458</v>
      </c>
      <c r="W7" s="119">
        <f>R7/R7</f>
        <v>1</v>
      </c>
    </row>
    <row r="8" spans="2:23" x14ac:dyDescent="0.25">
      <c r="B8" s="120" t="s">
        <v>62</v>
      </c>
      <c r="C8" s="121">
        <v>88579</v>
      </c>
      <c r="D8" s="121">
        <v>44486.999999999993</v>
      </c>
      <c r="E8" s="121">
        <v>56791</v>
      </c>
      <c r="F8" s="121">
        <v>89503</v>
      </c>
      <c r="G8" s="121">
        <v>89318</v>
      </c>
      <c r="H8" s="121">
        <v>91567</v>
      </c>
      <c r="I8" s="122">
        <f t="shared" si="0"/>
        <v>2.5179695022280013E-2</v>
      </c>
      <c r="J8" s="122">
        <f t="shared" si="1"/>
        <v>1.0582866904938526</v>
      </c>
      <c r="K8" s="121">
        <f t="shared" si="2"/>
        <v>2249</v>
      </c>
      <c r="L8" s="121">
        <f t="shared" si="3"/>
        <v>47080.000000000007</v>
      </c>
      <c r="M8" s="122">
        <f>H8/H7</f>
        <v>0.71873626373626376</v>
      </c>
      <c r="N8" s="121">
        <v>83465.000000000015</v>
      </c>
      <c r="O8" s="121">
        <v>89470</v>
      </c>
      <c r="P8" s="121">
        <v>89973</v>
      </c>
      <c r="Q8" s="121">
        <v>92593</v>
      </c>
      <c r="R8" s="121">
        <v>90297</v>
      </c>
      <c r="S8" s="122">
        <f t="shared" si="4"/>
        <v>-2.4796690894560047E-2</v>
      </c>
      <c r="T8" s="122">
        <f t="shared" si="5"/>
        <v>8.1854669621997056E-2</v>
      </c>
      <c r="U8" s="121">
        <f t="shared" si="6"/>
        <v>-2296</v>
      </c>
      <c r="V8" s="121">
        <f t="shared" si="7"/>
        <v>6831.9999999999854</v>
      </c>
      <c r="W8" s="122">
        <f>R8/R7</f>
        <v>0.71485571784823654</v>
      </c>
    </row>
    <row r="9" spans="2:23" x14ac:dyDescent="0.25">
      <c r="B9" s="123" t="s">
        <v>63</v>
      </c>
      <c r="C9" s="70">
        <v>69015</v>
      </c>
      <c r="D9" s="70">
        <v>34865</v>
      </c>
      <c r="E9" s="70">
        <v>45244</v>
      </c>
      <c r="F9" s="70">
        <v>71471</v>
      </c>
      <c r="G9" s="70">
        <v>72829</v>
      </c>
      <c r="H9" s="70">
        <v>74916</v>
      </c>
      <c r="I9" s="124">
        <f t="shared" si="0"/>
        <v>2.8656167186148274E-2</v>
      </c>
      <c r="J9" s="124">
        <f t="shared" si="1"/>
        <v>1.1487451599024809</v>
      </c>
      <c r="K9" s="70">
        <f t="shared" si="2"/>
        <v>2087</v>
      </c>
      <c r="L9" s="70">
        <f t="shared" si="3"/>
        <v>40051</v>
      </c>
      <c r="M9" s="124">
        <f>H9/H7</f>
        <v>0.58803767660910522</v>
      </c>
      <c r="N9" s="70">
        <v>65961</v>
      </c>
      <c r="O9" s="70">
        <v>71177</v>
      </c>
      <c r="P9" s="70">
        <v>73997</v>
      </c>
      <c r="Q9" s="70">
        <v>75960</v>
      </c>
      <c r="R9" s="70">
        <v>74586</v>
      </c>
      <c r="S9" s="124">
        <f t="shared" si="4"/>
        <v>-1.8088467614533976E-2</v>
      </c>
      <c r="T9" s="124">
        <f t="shared" si="5"/>
        <v>0.13075908491381272</v>
      </c>
      <c r="U9" s="70">
        <f t="shared" si="6"/>
        <v>-1374</v>
      </c>
      <c r="V9" s="70">
        <f t="shared" si="7"/>
        <v>8625</v>
      </c>
      <c r="W9" s="124">
        <f>R9/R7</f>
        <v>0.59047619047619049</v>
      </c>
    </row>
    <row r="10" spans="2:23" x14ac:dyDescent="0.25">
      <c r="B10" s="123" t="s">
        <v>64</v>
      </c>
      <c r="C10" s="70">
        <v>19564</v>
      </c>
      <c r="D10" s="70">
        <v>9622</v>
      </c>
      <c r="E10" s="70">
        <v>11547</v>
      </c>
      <c r="F10" s="70">
        <v>18032</v>
      </c>
      <c r="G10" s="70">
        <v>16489</v>
      </c>
      <c r="H10" s="70">
        <v>16651</v>
      </c>
      <c r="I10" s="124">
        <f t="shared" si="0"/>
        <v>9.8247316392747752E-3</v>
      </c>
      <c r="J10" s="124">
        <f t="shared" si="1"/>
        <v>0.73051340677613807</v>
      </c>
      <c r="K10" s="70">
        <f t="shared" si="2"/>
        <v>162</v>
      </c>
      <c r="L10" s="70">
        <f t="shared" si="3"/>
        <v>7029</v>
      </c>
      <c r="M10" s="124">
        <f>H10/H7</f>
        <v>0.13069858712715857</v>
      </c>
      <c r="N10" s="70">
        <v>17504</v>
      </c>
      <c r="O10" s="70">
        <v>18293</v>
      </c>
      <c r="P10" s="70">
        <v>15976</v>
      </c>
      <c r="Q10" s="70">
        <v>16633</v>
      </c>
      <c r="R10" s="70">
        <v>15711</v>
      </c>
      <c r="S10" s="124">
        <f t="shared" si="4"/>
        <v>-5.5431972584620959E-2</v>
      </c>
      <c r="T10" s="124">
        <f t="shared" si="5"/>
        <v>-0.10243372943327245</v>
      </c>
      <c r="U10" s="70">
        <f t="shared" si="6"/>
        <v>-922</v>
      </c>
      <c r="V10" s="70">
        <f t="shared" si="7"/>
        <v>-1793</v>
      </c>
      <c r="W10" s="124">
        <f>R10/R7</f>
        <v>0.12437952737204608</v>
      </c>
    </row>
    <row r="11" spans="2:23" x14ac:dyDescent="0.25">
      <c r="B11" s="120" t="s">
        <v>65</v>
      </c>
      <c r="C11" s="121">
        <v>43565</v>
      </c>
      <c r="D11" s="121">
        <v>22114</v>
      </c>
      <c r="E11" s="121">
        <v>25665.000000000004</v>
      </c>
      <c r="F11" s="121">
        <v>34193</v>
      </c>
      <c r="G11" s="121">
        <v>36218</v>
      </c>
      <c r="H11" s="121">
        <v>35833</v>
      </c>
      <c r="I11" s="122">
        <f t="shared" si="0"/>
        <v>-1.0630073444143795E-2</v>
      </c>
      <c r="J11" s="122">
        <f t="shared" si="1"/>
        <v>0.62037623225106264</v>
      </c>
      <c r="K11" s="121">
        <f t="shared" si="2"/>
        <v>-385</v>
      </c>
      <c r="L11" s="121">
        <f t="shared" si="3"/>
        <v>13719</v>
      </c>
      <c r="M11" s="122">
        <f>H11/H7</f>
        <v>0.28126373626373624</v>
      </c>
      <c r="N11" s="121">
        <v>30392.000000000004</v>
      </c>
      <c r="O11" s="121">
        <v>34951</v>
      </c>
      <c r="P11" s="121">
        <v>36050</v>
      </c>
      <c r="Q11" s="121">
        <v>35910</v>
      </c>
      <c r="R11" s="121">
        <v>36018</v>
      </c>
      <c r="S11" s="122">
        <f t="shared" si="4"/>
        <v>3.0075187969924588E-3</v>
      </c>
      <c r="T11" s="122">
        <f t="shared" si="5"/>
        <v>0.18511450381679384</v>
      </c>
      <c r="U11" s="121">
        <f t="shared" si="6"/>
        <v>108</v>
      </c>
      <c r="V11" s="121">
        <f t="shared" si="7"/>
        <v>5625.9999999999964</v>
      </c>
      <c r="W11" s="122">
        <f>R11/R7</f>
        <v>0.28514428215176346</v>
      </c>
    </row>
    <row r="12" spans="2:23" x14ac:dyDescent="0.25">
      <c r="B12" s="117" t="s">
        <v>46</v>
      </c>
      <c r="C12" s="125">
        <v>46648</v>
      </c>
      <c r="D12" s="125">
        <v>23742</v>
      </c>
      <c r="E12" s="125">
        <v>29697.000000000004</v>
      </c>
      <c r="F12" s="125">
        <v>44233</v>
      </c>
      <c r="G12" s="125">
        <v>45902</v>
      </c>
      <c r="H12" s="125">
        <v>46521.000000000007</v>
      </c>
      <c r="I12" s="126">
        <f t="shared" si="0"/>
        <v>1.3485251187312253E-2</v>
      </c>
      <c r="J12" s="126">
        <f t="shared" si="1"/>
        <v>0.95943896891584557</v>
      </c>
      <c r="K12" s="125">
        <f t="shared" si="2"/>
        <v>619.00000000000728</v>
      </c>
      <c r="L12" s="125">
        <f t="shared" si="3"/>
        <v>22779.000000000007</v>
      </c>
      <c r="M12" s="119">
        <f>H12/H12</f>
        <v>1</v>
      </c>
      <c r="N12" s="125">
        <v>40463.999999999993</v>
      </c>
      <c r="O12" s="125">
        <v>44073</v>
      </c>
      <c r="P12" s="125">
        <v>46483</v>
      </c>
      <c r="Q12" s="125">
        <v>47014.999999999993</v>
      </c>
      <c r="R12" s="125">
        <v>46075</v>
      </c>
      <c r="S12" s="126">
        <f t="shared" si="4"/>
        <v>-1.9993619057747325E-2</v>
      </c>
      <c r="T12" s="126">
        <f t="shared" si="5"/>
        <v>0.1386664689600634</v>
      </c>
      <c r="U12" s="125">
        <f t="shared" si="6"/>
        <v>-939.99999999999272</v>
      </c>
      <c r="V12" s="125">
        <f t="shared" si="7"/>
        <v>5611.0000000000073</v>
      </c>
      <c r="W12" s="119">
        <f>R12/R12</f>
        <v>1</v>
      </c>
    </row>
    <row r="13" spans="2:23" x14ac:dyDescent="0.25">
      <c r="B13" s="120" t="s">
        <v>62</v>
      </c>
      <c r="C13" s="121">
        <v>34050</v>
      </c>
      <c r="D13" s="121">
        <v>17566</v>
      </c>
      <c r="E13" s="121">
        <v>23340</v>
      </c>
      <c r="F13" s="121">
        <v>34827</v>
      </c>
      <c r="G13" s="121">
        <v>34946</v>
      </c>
      <c r="H13" s="121">
        <v>35191</v>
      </c>
      <c r="I13" s="122">
        <f t="shared" si="0"/>
        <v>7.0108166886053702E-3</v>
      </c>
      <c r="J13" s="122">
        <f t="shared" si="1"/>
        <v>1.003358761243311</v>
      </c>
      <c r="K13" s="121">
        <f t="shared" si="2"/>
        <v>245</v>
      </c>
      <c r="L13" s="121">
        <f t="shared" si="3"/>
        <v>17625</v>
      </c>
      <c r="M13" s="122">
        <f>H13/H12</f>
        <v>0.75645407450398738</v>
      </c>
      <c r="N13" s="121">
        <v>33429</v>
      </c>
      <c r="O13" s="121">
        <v>34318</v>
      </c>
      <c r="P13" s="121">
        <v>35650</v>
      </c>
      <c r="Q13" s="121">
        <v>35398</v>
      </c>
      <c r="R13" s="121">
        <v>34456</v>
      </c>
      <c r="S13" s="122">
        <f t="shared" si="4"/>
        <v>-2.6611672975874301E-2</v>
      </c>
      <c r="T13" s="122">
        <f t="shared" si="5"/>
        <v>3.0721828352628044E-2</v>
      </c>
      <c r="U13" s="121">
        <f t="shared" si="6"/>
        <v>-942</v>
      </c>
      <c r="V13" s="121">
        <f t="shared" si="7"/>
        <v>1027</v>
      </c>
      <c r="W13" s="122">
        <f>R13/R12</f>
        <v>0.7478241996744438</v>
      </c>
    </row>
    <row r="14" spans="2:23" x14ac:dyDescent="0.25">
      <c r="B14" s="123" t="s">
        <v>63</v>
      </c>
      <c r="C14" s="70">
        <v>27660</v>
      </c>
      <c r="D14" s="70">
        <v>14847</v>
      </c>
      <c r="E14" s="70">
        <v>20181</v>
      </c>
      <c r="F14" s="70">
        <v>29820</v>
      </c>
      <c r="G14" s="70">
        <v>30493</v>
      </c>
      <c r="H14" s="70">
        <v>31141</v>
      </c>
      <c r="I14" s="124">
        <f t="shared" si="0"/>
        <v>2.1250778867281106E-2</v>
      </c>
      <c r="J14" s="124">
        <f t="shared" si="1"/>
        <v>1.0974607664848119</v>
      </c>
      <c r="K14" s="70">
        <f t="shared" si="2"/>
        <v>648</v>
      </c>
      <c r="L14" s="70">
        <f t="shared" si="3"/>
        <v>16294</v>
      </c>
      <c r="M14" s="124">
        <f>H14/H12</f>
        <v>0.66939661658175864</v>
      </c>
      <c r="N14" s="70">
        <v>27952</v>
      </c>
      <c r="O14" s="70">
        <v>29302</v>
      </c>
      <c r="P14" s="70">
        <v>31325</v>
      </c>
      <c r="Q14" s="70">
        <v>31393.000000000004</v>
      </c>
      <c r="R14" s="70">
        <v>30350.999999999996</v>
      </c>
      <c r="S14" s="124">
        <f t="shared" si="4"/>
        <v>-3.3192112891409109E-2</v>
      </c>
      <c r="T14" s="124">
        <f t="shared" si="5"/>
        <v>8.5825701202060456E-2</v>
      </c>
      <c r="U14" s="70">
        <f t="shared" si="6"/>
        <v>-1042.0000000000073</v>
      </c>
      <c r="V14" s="70">
        <f t="shared" si="7"/>
        <v>2398.9999999999964</v>
      </c>
      <c r="W14" s="124">
        <f>R14/R12</f>
        <v>0.65873033098209433</v>
      </c>
    </row>
    <row r="15" spans="2:23" x14ac:dyDescent="0.25">
      <c r="B15" s="123" t="s">
        <v>64</v>
      </c>
      <c r="C15" s="70">
        <v>6390.0000000000009</v>
      </c>
      <c r="D15" s="70">
        <v>2720</v>
      </c>
      <c r="E15" s="70">
        <v>3159.0000000000005</v>
      </c>
      <c r="F15" s="70">
        <v>5006.0000000000009</v>
      </c>
      <c r="G15" s="70">
        <v>4453</v>
      </c>
      <c r="H15" s="70">
        <v>4050</v>
      </c>
      <c r="I15" s="124">
        <f t="shared" si="0"/>
        <v>-9.0500785986975085E-2</v>
      </c>
      <c r="J15" s="124">
        <f t="shared" si="1"/>
        <v>0.48897058823529416</v>
      </c>
      <c r="K15" s="70">
        <f t="shared" si="2"/>
        <v>-403</v>
      </c>
      <c r="L15" s="70">
        <f t="shared" si="3"/>
        <v>1330</v>
      </c>
      <c r="M15" s="124">
        <f>H15/H12</f>
        <v>8.7057457922228659E-2</v>
      </c>
      <c r="N15" s="70">
        <v>5477</v>
      </c>
      <c r="O15" s="70">
        <v>5016</v>
      </c>
      <c r="P15" s="70">
        <v>4325</v>
      </c>
      <c r="Q15" s="70">
        <v>4004.9999999999995</v>
      </c>
      <c r="R15" s="70">
        <v>4105</v>
      </c>
      <c r="S15" s="124">
        <f t="shared" si="4"/>
        <v>2.4968789013732895E-2</v>
      </c>
      <c r="T15" s="124">
        <f t="shared" si="5"/>
        <v>-0.25050209968961112</v>
      </c>
      <c r="U15" s="70">
        <f t="shared" si="6"/>
        <v>100.00000000000045</v>
      </c>
      <c r="V15" s="70">
        <f t="shared" si="7"/>
        <v>-1372</v>
      </c>
      <c r="W15" s="124">
        <f>R15/R12</f>
        <v>8.9093868692349434E-2</v>
      </c>
    </row>
    <row r="16" spans="2:23" x14ac:dyDescent="0.25">
      <c r="B16" s="120" t="s">
        <v>65</v>
      </c>
      <c r="C16" s="121">
        <v>12598</v>
      </c>
      <c r="D16" s="121">
        <v>6176</v>
      </c>
      <c r="E16" s="121">
        <v>6357</v>
      </c>
      <c r="F16" s="121">
        <v>9406</v>
      </c>
      <c r="G16" s="121">
        <v>10956.000000000002</v>
      </c>
      <c r="H16" s="121">
        <v>11330</v>
      </c>
      <c r="I16" s="122">
        <f t="shared" si="0"/>
        <v>3.4136546184738714E-2</v>
      </c>
      <c r="J16" s="122">
        <f t="shared" si="1"/>
        <v>0.83452072538860111</v>
      </c>
      <c r="K16" s="121">
        <f t="shared" si="2"/>
        <v>373.99999999999818</v>
      </c>
      <c r="L16" s="121">
        <f t="shared" si="3"/>
        <v>5154</v>
      </c>
      <c r="M16" s="122">
        <f>H16/H12</f>
        <v>0.24354592549601251</v>
      </c>
      <c r="N16" s="121">
        <v>7035</v>
      </c>
      <c r="O16" s="121">
        <v>9755</v>
      </c>
      <c r="P16" s="121">
        <v>10833</v>
      </c>
      <c r="Q16" s="121">
        <v>11617</v>
      </c>
      <c r="R16" s="121">
        <v>11619</v>
      </c>
      <c r="S16" s="122">
        <f t="shared" si="4"/>
        <v>1.7216148747523086E-4</v>
      </c>
      <c r="T16" s="122">
        <f t="shared" si="5"/>
        <v>0.65159914712153522</v>
      </c>
      <c r="U16" s="121">
        <f t="shared" si="6"/>
        <v>2</v>
      </c>
      <c r="V16" s="121">
        <f t="shared" si="7"/>
        <v>4584</v>
      </c>
      <c r="W16" s="122">
        <f>R16/R12</f>
        <v>0.25217580032555614</v>
      </c>
    </row>
    <row r="17" spans="2:23" x14ac:dyDescent="0.25">
      <c r="B17" s="117" t="s">
        <v>51</v>
      </c>
      <c r="C17" s="125">
        <v>713</v>
      </c>
      <c r="D17" s="125">
        <v>339</v>
      </c>
      <c r="E17" s="125">
        <v>532</v>
      </c>
      <c r="F17" s="125">
        <v>654</v>
      </c>
      <c r="G17" s="125">
        <v>663</v>
      </c>
      <c r="H17" s="125">
        <v>673</v>
      </c>
      <c r="I17" s="126">
        <f t="shared" si="0"/>
        <v>1.5082956259426794E-2</v>
      </c>
      <c r="J17" s="126">
        <f t="shared" si="1"/>
        <v>0.98525073746312675</v>
      </c>
      <c r="K17" s="125">
        <f t="shared" si="2"/>
        <v>10</v>
      </c>
      <c r="L17" s="125">
        <f t="shared" si="3"/>
        <v>334</v>
      </c>
      <c r="M17" s="119">
        <f>H17/H17</f>
        <v>1</v>
      </c>
      <c r="N17" s="125">
        <v>625</v>
      </c>
      <c r="O17" s="125">
        <v>663</v>
      </c>
      <c r="P17" s="125">
        <v>673</v>
      </c>
      <c r="Q17" s="125">
        <v>673</v>
      </c>
      <c r="R17" s="125">
        <v>673</v>
      </c>
      <c r="S17" s="126">
        <f t="shared" si="4"/>
        <v>0</v>
      </c>
      <c r="T17" s="126">
        <f t="shared" si="5"/>
        <v>7.6799999999999979E-2</v>
      </c>
      <c r="U17" s="125">
        <f t="shared" si="6"/>
        <v>0</v>
      </c>
      <c r="V17" s="125">
        <f t="shared" si="7"/>
        <v>48</v>
      </c>
      <c r="W17" s="119">
        <f>R17/R17</f>
        <v>1</v>
      </c>
    </row>
    <row r="18" spans="2:23" x14ac:dyDescent="0.25">
      <c r="B18" s="120" t="s">
        <v>62</v>
      </c>
      <c r="C18" s="121">
        <v>713</v>
      </c>
      <c r="D18" s="121">
        <v>339</v>
      </c>
      <c r="E18" s="121">
        <v>532</v>
      </c>
      <c r="F18" s="121">
        <v>654</v>
      </c>
      <c r="G18" s="121">
        <v>663</v>
      </c>
      <c r="H18" s="121">
        <v>673</v>
      </c>
      <c r="I18" s="122">
        <f t="shared" si="0"/>
        <v>1.5082956259426794E-2</v>
      </c>
      <c r="J18" s="122">
        <f t="shared" si="1"/>
        <v>0.98525073746312675</v>
      </c>
      <c r="K18" s="121">
        <f t="shared" si="2"/>
        <v>10</v>
      </c>
      <c r="L18" s="121">
        <f t="shared" si="3"/>
        <v>334</v>
      </c>
      <c r="M18" s="122">
        <f>H18/H17</f>
        <v>1</v>
      </c>
      <c r="N18" s="121">
        <v>625</v>
      </c>
      <c r="O18" s="121">
        <v>663</v>
      </c>
      <c r="P18" s="121">
        <v>673</v>
      </c>
      <c r="Q18" s="121">
        <v>673</v>
      </c>
      <c r="R18" s="121">
        <v>673</v>
      </c>
      <c r="S18" s="122">
        <f t="shared" si="4"/>
        <v>0</v>
      </c>
      <c r="T18" s="122">
        <f t="shared" si="5"/>
        <v>7.6799999999999979E-2</v>
      </c>
      <c r="U18" s="121">
        <f t="shared" si="6"/>
        <v>0</v>
      </c>
      <c r="V18" s="121">
        <f t="shared" si="7"/>
        <v>48</v>
      </c>
      <c r="W18" s="122">
        <f>R18/R17</f>
        <v>1</v>
      </c>
    </row>
    <row r="19" spans="2:23" x14ac:dyDescent="0.25">
      <c r="B19" s="123" t="s">
        <v>63</v>
      </c>
      <c r="C19" s="70">
        <v>555</v>
      </c>
      <c r="D19" s="70">
        <v>0</v>
      </c>
      <c r="E19" s="70">
        <v>0</v>
      </c>
      <c r="F19" s="70">
        <v>600</v>
      </c>
      <c r="G19" s="70">
        <v>600</v>
      </c>
      <c r="H19" s="70">
        <v>600</v>
      </c>
      <c r="I19" s="124">
        <f t="shared" si="0"/>
        <v>0</v>
      </c>
      <c r="J19" s="124" t="str">
        <f t="shared" si="1"/>
        <v>-</v>
      </c>
      <c r="K19" s="70">
        <f t="shared" si="2"/>
        <v>0</v>
      </c>
      <c r="L19" s="70">
        <f t="shared" si="3"/>
        <v>600</v>
      </c>
      <c r="M19" s="124">
        <f>H19/H17</f>
        <v>0.89153046062407137</v>
      </c>
      <c r="N19" s="70">
        <v>0</v>
      </c>
      <c r="O19" s="70">
        <v>600</v>
      </c>
      <c r="P19" s="70">
        <v>600</v>
      </c>
      <c r="Q19" s="70">
        <v>600</v>
      </c>
      <c r="R19" s="70">
        <v>600</v>
      </c>
      <c r="S19" s="124">
        <f t="shared" si="4"/>
        <v>0</v>
      </c>
      <c r="T19" s="124" t="str">
        <f t="shared" si="5"/>
        <v>-</v>
      </c>
      <c r="U19" s="70">
        <f t="shared" si="6"/>
        <v>0</v>
      </c>
      <c r="V19" s="70">
        <f t="shared" si="7"/>
        <v>600</v>
      </c>
      <c r="W19" s="124">
        <f>R19/R17</f>
        <v>0.89153046062407137</v>
      </c>
    </row>
    <row r="20" spans="2:23" x14ac:dyDescent="0.25">
      <c r="B20" s="123" t="s">
        <v>64</v>
      </c>
      <c r="C20" s="70">
        <v>158</v>
      </c>
      <c r="D20" s="70">
        <v>0</v>
      </c>
      <c r="E20" s="70">
        <v>0</v>
      </c>
      <c r="F20" s="70">
        <v>54</v>
      </c>
      <c r="G20" s="70">
        <v>63</v>
      </c>
      <c r="H20" s="70">
        <v>73</v>
      </c>
      <c r="I20" s="124">
        <f t="shared" si="0"/>
        <v>0.15873015873015883</v>
      </c>
      <c r="J20" s="124" t="str">
        <f t="shared" si="1"/>
        <v>-</v>
      </c>
      <c r="K20" s="70">
        <f t="shared" si="2"/>
        <v>10</v>
      </c>
      <c r="L20" s="70">
        <f t="shared" si="3"/>
        <v>73</v>
      </c>
      <c r="M20" s="124">
        <f>H20/H17</f>
        <v>0.10846953937592868</v>
      </c>
      <c r="N20" s="70">
        <v>0</v>
      </c>
      <c r="O20" s="70">
        <v>63</v>
      </c>
      <c r="P20" s="70">
        <v>73</v>
      </c>
      <c r="Q20" s="70">
        <v>73</v>
      </c>
      <c r="R20" s="70">
        <v>73</v>
      </c>
      <c r="S20" s="124">
        <f t="shared" si="4"/>
        <v>0</v>
      </c>
      <c r="T20" s="124" t="str">
        <f t="shared" si="5"/>
        <v>-</v>
      </c>
      <c r="U20" s="70">
        <f t="shared" si="6"/>
        <v>0</v>
      </c>
      <c r="V20" s="70">
        <f t="shared" si="7"/>
        <v>73</v>
      </c>
      <c r="W20" s="124">
        <f>R20/R17</f>
        <v>0.10846953937592868</v>
      </c>
    </row>
    <row r="21" spans="2:23" x14ac:dyDescent="0.25">
      <c r="B21" s="120" t="s">
        <v>65</v>
      </c>
      <c r="C21" s="121">
        <v>0</v>
      </c>
      <c r="D21" s="121">
        <v>0</v>
      </c>
      <c r="E21" s="121">
        <v>0</v>
      </c>
      <c r="F21" s="121">
        <v>0</v>
      </c>
      <c r="G21" s="121">
        <v>0</v>
      </c>
      <c r="H21" s="121">
        <v>0</v>
      </c>
      <c r="I21" s="122" t="str">
        <f t="shared" si="0"/>
        <v>-</v>
      </c>
      <c r="J21" s="122" t="str">
        <f t="shared" si="1"/>
        <v>-</v>
      </c>
      <c r="K21" s="121">
        <f t="shared" si="2"/>
        <v>0</v>
      </c>
      <c r="L21" s="121">
        <f t="shared" si="3"/>
        <v>0</v>
      </c>
      <c r="M21" s="122">
        <f>H21/H17</f>
        <v>0</v>
      </c>
      <c r="N21" s="121" t="s">
        <v>233</v>
      </c>
      <c r="O21" s="121" t="s">
        <v>233</v>
      </c>
      <c r="P21" s="121" t="s">
        <v>233</v>
      </c>
      <c r="Q21" s="121" t="s">
        <v>233</v>
      </c>
      <c r="R21" s="121" t="s">
        <v>233</v>
      </c>
      <c r="S21" s="122" t="str">
        <f t="shared" si="4"/>
        <v>-</v>
      </c>
      <c r="T21" s="122" t="str">
        <f t="shared" si="5"/>
        <v>-</v>
      </c>
      <c r="U21" s="121" t="str">
        <f t="shared" si="6"/>
        <v>-</v>
      </c>
      <c r="V21" s="121" t="str">
        <f t="shared" si="7"/>
        <v>-</v>
      </c>
      <c r="W21" s="122" t="e">
        <f>R21/R17</f>
        <v>#VALUE!</v>
      </c>
    </row>
    <row r="22" spans="2:23" x14ac:dyDescent="0.25">
      <c r="B22" s="117" t="s">
        <v>48</v>
      </c>
      <c r="C22" s="125">
        <v>1127</v>
      </c>
      <c r="D22" s="125">
        <v>437</v>
      </c>
      <c r="E22" s="125">
        <v>669</v>
      </c>
      <c r="F22" s="125">
        <v>857</v>
      </c>
      <c r="G22" s="125">
        <v>900</v>
      </c>
      <c r="H22" s="125">
        <v>900</v>
      </c>
      <c r="I22" s="126">
        <f t="shared" si="0"/>
        <v>0</v>
      </c>
      <c r="J22" s="126">
        <f t="shared" si="1"/>
        <v>1.0594965675057209</v>
      </c>
      <c r="K22" s="125">
        <f t="shared" si="2"/>
        <v>0</v>
      </c>
      <c r="L22" s="125">
        <f t="shared" si="3"/>
        <v>463</v>
      </c>
      <c r="M22" s="126">
        <f>H22/H22</f>
        <v>1</v>
      </c>
      <c r="N22" s="125">
        <v>802</v>
      </c>
      <c r="O22" s="125">
        <v>898</v>
      </c>
      <c r="P22" s="125">
        <v>912</v>
      </c>
      <c r="Q22" s="125">
        <v>912</v>
      </c>
      <c r="R22" s="125">
        <v>905</v>
      </c>
      <c r="S22" s="126">
        <f t="shared" si="4"/>
        <v>-7.6754385964912242E-3</v>
      </c>
      <c r="T22" s="126">
        <f t="shared" si="5"/>
        <v>0.12842892768079794</v>
      </c>
      <c r="U22" s="125">
        <f t="shared" si="6"/>
        <v>-7</v>
      </c>
      <c r="V22" s="125">
        <f t="shared" si="7"/>
        <v>103</v>
      </c>
      <c r="W22" s="126">
        <f>R22/R22</f>
        <v>1</v>
      </c>
    </row>
    <row r="23" spans="2:23" x14ac:dyDescent="0.25">
      <c r="B23" s="120" t="s">
        <v>62</v>
      </c>
      <c r="C23" s="121">
        <v>917</v>
      </c>
      <c r="D23" s="121">
        <v>386</v>
      </c>
      <c r="E23" s="121">
        <v>669</v>
      </c>
      <c r="F23" s="121">
        <v>855</v>
      </c>
      <c r="G23" s="121">
        <v>886</v>
      </c>
      <c r="H23" s="121">
        <v>886</v>
      </c>
      <c r="I23" s="122">
        <f t="shared" si="0"/>
        <v>0</v>
      </c>
      <c r="J23" s="122">
        <f t="shared" si="1"/>
        <v>1.295336787564767</v>
      </c>
      <c r="K23" s="121">
        <f t="shared" si="2"/>
        <v>0</v>
      </c>
      <c r="L23" s="121">
        <f t="shared" si="3"/>
        <v>500</v>
      </c>
      <c r="M23" s="122">
        <f>H23/H22</f>
        <v>0.98444444444444446</v>
      </c>
      <c r="N23" s="121">
        <v>802</v>
      </c>
      <c r="O23" s="121">
        <v>898</v>
      </c>
      <c r="P23" s="121">
        <v>898</v>
      </c>
      <c r="Q23" s="121">
        <v>898</v>
      </c>
      <c r="R23" s="121">
        <v>887</v>
      </c>
      <c r="S23" s="122">
        <f t="shared" si="4"/>
        <v>-1.2249443207126953E-2</v>
      </c>
      <c r="T23" s="122">
        <f t="shared" si="5"/>
        <v>0.10598503740648368</v>
      </c>
      <c r="U23" s="121">
        <f t="shared" si="6"/>
        <v>-11</v>
      </c>
      <c r="V23" s="121">
        <f t="shared" si="7"/>
        <v>85</v>
      </c>
      <c r="W23" s="122">
        <f>R23/R22</f>
        <v>0.98011049723756904</v>
      </c>
    </row>
    <row r="24" spans="2:23" x14ac:dyDescent="0.25">
      <c r="B24" s="120" t="s">
        <v>65</v>
      </c>
      <c r="C24" s="121">
        <v>210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2" t="str">
        <f t="shared" si="0"/>
        <v>-</v>
      </c>
      <c r="J24" s="122" t="str">
        <f t="shared" si="1"/>
        <v>-</v>
      </c>
      <c r="K24" s="121">
        <f t="shared" si="2"/>
        <v>0</v>
      </c>
      <c r="L24" s="121">
        <f t="shared" si="3"/>
        <v>0</v>
      </c>
      <c r="M24" s="122">
        <f>H24/H22</f>
        <v>0</v>
      </c>
      <c r="N24" s="121">
        <v>0</v>
      </c>
      <c r="O24" s="121">
        <v>0</v>
      </c>
      <c r="P24" s="121">
        <v>0</v>
      </c>
      <c r="Q24" s="121">
        <v>0</v>
      </c>
      <c r="R24" s="121">
        <v>0</v>
      </c>
      <c r="S24" s="122" t="str">
        <f t="shared" si="4"/>
        <v>-</v>
      </c>
      <c r="T24" s="122" t="str">
        <f t="shared" si="5"/>
        <v>-</v>
      </c>
      <c r="U24" s="121">
        <f t="shared" si="6"/>
        <v>0</v>
      </c>
      <c r="V24" s="121">
        <f t="shared" si="7"/>
        <v>0</v>
      </c>
      <c r="W24" s="122">
        <f>R24/R22</f>
        <v>0</v>
      </c>
    </row>
    <row r="25" spans="2:23" x14ac:dyDescent="0.25">
      <c r="B25" s="117" t="s">
        <v>49</v>
      </c>
      <c r="C25" s="125">
        <v>4070</v>
      </c>
      <c r="D25" s="125">
        <v>2900</v>
      </c>
      <c r="E25" s="125">
        <v>4012</v>
      </c>
      <c r="F25" s="125">
        <v>4562</v>
      </c>
      <c r="G25" s="125">
        <v>4395</v>
      </c>
      <c r="H25" s="125">
        <v>4427</v>
      </c>
      <c r="I25" s="126">
        <f t="shared" si="0"/>
        <v>7.2810011376565065E-3</v>
      </c>
      <c r="J25" s="126">
        <f t="shared" si="1"/>
        <v>0.52655172413793094</v>
      </c>
      <c r="K25" s="125">
        <f t="shared" si="2"/>
        <v>32</v>
      </c>
      <c r="L25" s="125">
        <f t="shared" si="3"/>
        <v>1527</v>
      </c>
      <c r="M25" s="119">
        <f>H25/H25</f>
        <v>1</v>
      </c>
      <c r="N25" s="125">
        <v>4276</v>
      </c>
      <c r="O25" s="125">
        <v>4562</v>
      </c>
      <c r="P25" s="125">
        <v>4276</v>
      </c>
      <c r="Q25" s="125">
        <v>4616</v>
      </c>
      <c r="R25" s="125">
        <v>4616</v>
      </c>
      <c r="S25" s="126">
        <f t="shared" si="4"/>
        <v>0</v>
      </c>
      <c r="T25" s="126">
        <f t="shared" si="5"/>
        <v>7.9513564078578014E-2</v>
      </c>
      <c r="U25" s="125">
        <f t="shared" si="6"/>
        <v>0</v>
      </c>
      <c r="V25" s="125">
        <f t="shared" si="7"/>
        <v>340</v>
      </c>
      <c r="W25" s="119">
        <f>R25/R25</f>
        <v>1</v>
      </c>
    </row>
    <row r="26" spans="2:23" x14ac:dyDescent="0.25">
      <c r="B26" s="120" t="s">
        <v>62</v>
      </c>
      <c r="C26" s="121">
        <v>4004</v>
      </c>
      <c r="D26" s="121">
        <v>2534</v>
      </c>
      <c r="E26" s="121">
        <v>3312</v>
      </c>
      <c r="F26" s="121">
        <v>3862</v>
      </c>
      <c r="G26" s="121">
        <v>3695.0000000000005</v>
      </c>
      <c r="H26" s="121">
        <v>3727.0000000000005</v>
      </c>
      <c r="I26" s="122">
        <f t="shared" si="0"/>
        <v>8.6603518267929225E-3</v>
      </c>
      <c r="J26" s="122">
        <f t="shared" si="1"/>
        <v>0.47079715864246263</v>
      </c>
      <c r="K26" s="121">
        <f t="shared" si="2"/>
        <v>32</v>
      </c>
      <c r="L26" s="121">
        <f t="shared" si="3"/>
        <v>1193.0000000000005</v>
      </c>
      <c r="M26" s="122">
        <f>H26/H25</f>
        <v>0.84187937655297052</v>
      </c>
      <c r="N26" s="121">
        <v>3576</v>
      </c>
      <c r="O26" s="121">
        <v>3862</v>
      </c>
      <c r="P26" s="121">
        <v>3576</v>
      </c>
      <c r="Q26" s="121">
        <v>3916</v>
      </c>
      <c r="R26" s="121">
        <v>3916</v>
      </c>
      <c r="S26" s="122">
        <f t="shared" si="4"/>
        <v>0</v>
      </c>
      <c r="T26" s="122">
        <f t="shared" si="5"/>
        <v>9.5078299776286457E-2</v>
      </c>
      <c r="U26" s="121">
        <f t="shared" si="6"/>
        <v>0</v>
      </c>
      <c r="V26" s="121">
        <f t="shared" si="7"/>
        <v>340</v>
      </c>
      <c r="W26" s="122">
        <f>R26/R25</f>
        <v>0.84835355285961866</v>
      </c>
    </row>
    <row r="27" spans="2:23" x14ac:dyDescent="0.25">
      <c r="B27" s="123" t="s">
        <v>63</v>
      </c>
      <c r="C27" s="70">
        <v>3576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  <c r="I27" s="124" t="str">
        <f t="shared" si="0"/>
        <v>-</v>
      </c>
      <c r="J27" s="124" t="str">
        <f t="shared" si="1"/>
        <v>-</v>
      </c>
      <c r="K27" s="70">
        <f t="shared" si="2"/>
        <v>0</v>
      </c>
      <c r="L27" s="70">
        <f t="shared" si="3"/>
        <v>0</v>
      </c>
      <c r="M27" s="124">
        <f>H27/H25</f>
        <v>0</v>
      </c>
      <c r="N27" s="70">
        <v>3576</v>
      </c>
      <c r="O27" s="70">
        <v>0</v>
      </c>
      <c r="P27" s="70">
        <v>3576</v>
      </c>
      <c r="Q27" s="70">
        <v>0</v>
      </c>
      <c r="R27" s="70">
        <v>0</v>
      </c>
      <c r="S27" s="124" t="str">
        <f t="shared" si="4"/>
        <v>-</v>
      </c>
      <c r="T27" s="124">
        <f t="shared" si="5"/>
        <v>-1</v>
      </c>
      <c r="U27" s="70">
        <f t="shared" si="6"/>
        <v>0</v>
      </c>
      <c r="V27" s="70">
        <f t="shared" si="7"/>
        <v>-3576</v>
      </c>
      <c r="W27" s="124">
        <f>R27/R25</f>
        <v>0</v>
      </c>
    </row>
    <row r="28" spans="2:23" x14ac:dyDescent="0.25">
      <c r="B28" s="123" t="s">
        <v>64</v>
      </c>
      <c r="C28" s="70">
        <v>428</v>
      </c>
      <c r="D28" s="70">
        <v>0</v>
      </c>
      <c r="E28" s="70">
        <v>0</v>
      </c>
      <c r="F28" s="70">
        <v>0</v>
      </c>
      <c r="G28" s="70">
        <v>0</v>
      </c>
      <c r="H28" s="70">
        <v>0</v>
      </c>
      <c r="I28" s="124" t="str">
        <f t="shared" si="0"/>
        <v>-</v>
      </c>
      <c r="J28" s="124" t="str">
        <f t="shared" si="1"/>
        <v>-</v>
      </c>
      <c r="K28" s="70">
        <f t="shared" si="2"/>
        <v>0</v>
      </c>
      <c r="L28" s="70">
        <f t="shared" si="3"/>
        <v>0</v>
      </c>
      <c r="M28" s="124">
        <f>H28/H25</f>
        <v>0</v>
      </c>
      <c r="N28" s="70">
        <v>0</v>
      </c>
      <c r="O28" s="70">
        <v>0</v>
      </c>
      <c r="P28" s="70">
        <v>0</v>
      </c>
      <c r="Q28" s="70">
        <v>0</v>
      </c>
      <c r="R28" s="70">
        <v>0</v>
      </c>
      <c r="S28" s="124" t="str">
        <f t="shared" si="4"/>
        <v>-</v>
      </c>
      <c r="T28" s="124" t="str">
        <f t="shared" si="5"/>
        <v>-</v>
      </c>
      <c r="U28" s="70">
        <f t="shared" si="6"/>
        <v>0</v>
      </c>
      <c r="V28" s="70">
        <f t="shared" si="7"/>
        <v>0</v>
      </c>
      <c r="W28" s="124">
        <f>R28/R25</f>
        <v>0</v>
      </c>
    </row>
    <row r="29" spans="2:23" x14ac:dyDescent="0.25">
      <c r="B29" s="117" t="s">
        <v>50</v>
      </c>
      <c r="C29" s="125">
        <v>21340</v>
      </c>
      <c r="D29" s="125">
        <v>9244</v>
      </c>
      <c r="E29" s="125">
        <v>11050</v>
      </c>
      <c r="F29" s="125">
        <v>18364</v>
      </c>
      <c r="G29" s="125">
        <v>19209</v>
      </c>
      <c r="H29" s="125">
        <v>20011</v>
      </c>
      <c r="I29" s="126">
        <f t="shared" si="0"/>
        <v>4.175126242906968E-2</v>
      </c>
      <c r="J29" s="126">
        <f t="shared" si="1"/>
        <v>1.1647555170921677</v>
      </c>
      <c r="K29" s="125">
        <f t="shared" si="2"/>
        <v>802</v>
      </c>
      <c r="L29" s="125">
        <f t="shared" si="3"/>
        <v>10767</v>
      </c>
      <c r="M29" s="119">
        <f>H29/H29</f>
        <v>1</v>
      </c>
      <c r="N29" s="125">
        <v>15763.999999999998</v>
      </c>
      <c r="O29" s="125">
        <v>18073</v>
      </c>
      <c r="P29" s="125">
        <v>19434</v>
      </c>
      <c r="Q29" s="125">
        <v>20174</v>
      </c>
      <c r="R29" s="125">
        <v>20110.999999999996</v>
      </c>
      <c r="S29" s="126">
        <f t="shared" si="4"/>
        <v>-3.1228313671063379E-3</v>
      </c>
      <c r="T29" s="126">
        <f t="shared" si="5"/>
        <v>0.2757548845470692</v>
      </c>
      <c r="U29" s="125">
        <f t="shared" si="6"/>
        <v>-63.000000000003638</v>
      </c>
      <c r="V29" s="125">
        <f t="shared" si="7"/>
        <v>4346.9999999999982</v>
      </c>
      <c r="W29" s="119">
        <f>R29/R29</f>
        <v>1</v>
      </c>
    </row>
    <row r="30" spans="2:23" x14ac:dyDescent="0.25">
      <c r="B30" s="120" t="s">
        <v>62</v>
      </c>
      <c r="C30" s="121">
        <v>16096</v>
      </c>
      <c r="D30" s="121">
        <v>6499</v>
      </c>
      <c r="E30" s="121">
        <v>8111</v>
      </c>
      <c r="F30" s="121">
        <v>14162</v>
      </c>
      <c r="G30" s="121">
        <v>14862</v>
      </c>
      <c r="H30" s="121">
        <v>15621</v>
      </c>
      <c r="I30" s="122">
        <f t="shared" si="0"/>
        <v>5.106984255147351E-2</v>
      </c>
      <c r="J30" s="122">
        <f t="shared" si="1"/>
        <v>1.4036005539313741</v>
      </c>
      <c r="K30" s="121">
        <f t="shared" si="2"/>
        <v>759</v>
      </c>
      <c r="L30" s="121">
        <f t="shared" si="3"/>
        <v>9122</v>
      </c>
      <c r="M30" s="122">
        <f>H30/H29</f>
        <v>0.78062065863774921</v>
      </c>
      <c r="N30" s="121">
        <v>12431</v>
      </c>
      <c r="O30" s="121">
        <v>13724.000000000002</v>
      </c>
      <c r="P30" s="121">
        <v>15087</v>
      </c>
      <c r="Q30" s="121">
        <v>15741</v>
      </c>
      <c r="R30" s="121">
        <v>15658</v>
      </c>
      <c r="S30" s="122">
        <f t="shared" si="4"/>
        <v>-5.2728543294581209E-3</v>
      </c>
      <c r="T30" s="122">
        <f t="shared" si="5"/>
        <v>0.25959295310111807</v>
      </c>
      <c r="U30" s="121">
        <f t="shared" si="6"/>
        <v>-83</v>
      </c>
      <c r="V30" s="121">
        <f t="shared" si="7"/>
        <v>3227</v>
      </c>
      <c r="W30" s="122">
        <f>R30/R29</f>
        <v>0.77857888717617241</v>
      </c>
    </row>
    <row r="31" spans="2:23" x14ac:dyDescent="0.25">
      <c r="B31" s="123" t="s">
        <v>63</v>
      </c>
      <c r="C31" s="70">
        <v>12913</v>
      </c>
      <c r="D31" s="70">
        <v>5381</v>
      </c>
      <c r="E31" s="70">
        <v>6550.0000000000009</v>
      </c>
      <c r="F31" s="70">
        <v>12095</v>
      </c>
      <c r="G31" s="70">
        <v>12793</v>
      </c>
      <c r="H31" s="70">
        <v>13518</v>
      </c>
      <c r="I31" s="124">
        <f t="shared" si="0"/>
        <v>5.66716172907058E-2</v>
      </c>
      <c r="J31" s="124">
        <f t="shared" si="1"/>
        <v>1.5121724586508085</v>
      </c>
      <c r="K31" s="70">
        <f t="shared" si="2"/>
        <v>725</v>
      </c>
      <c r="L31" s="70">
        <f t="shared" si="3"/>
        <v>8137</v>
      </c>
      <c r="M31" s="124">
        <f>H31/H29</f>
        <v>0.67552845934735894</v>
      </c>
      <c r="N31" s="70">
        <v>10082</v>
      </c>
      <c r="O31" s="70">
        <v>11819</v>
      </c>
      <c r="P31" s="70">
        <v>12988.000000000002</v>
      </c>
      <c r="Q31" s="70">
        <v>13638</v>
      </c>
      <c r="R31" s="70">
        <v>13498</v>
      </c>
      <c r="S31" s="124">
        <f t="shared" si="4"/>
        <v>-1.0265434814488938E-2</v>
      </c>
      <c r="T31" s="124">
        <f t="shared" si="5"/>
        <v>0.33882166236857758</v>
      </c>
      <c r="U31" s="70">
        <f t="shared" si="6"/>
        <v>-140</v>
      </c>
      <c r="V31" s="70">
        <f t="shared" si="7"/>
        <v>3416</v>
      </c>
      <c r="W31" s="124">
        <f>R31/R29</f>
        <v>0.67117497886728672</v>
      </c>
    </row>
    <row r="32" spans="2:23" x14ac:dyDescent="0.25">
      <c r="B32" s="123" t="s">
        <v>64</v>
      </c>
      <c r="C32" s="70">
        <v>3183.0000000000005</v>
      </c>
      <c r="D32" s="70">
        <v>1118</v>
      </c>
      <c r="E32" s="70">
        <v>1561</v>
      </c>
      <c r="F32" s="70">
        <v>2067</v>
      </c>
      <c r="G32" s="70">
        <v>2069</v>
      </c>
      <c r="H32" s="70">
        <v>2103</v>
      </c>
      <c r="I32" s="124">
        <f t="shared" si="0"/>
        <v>1.6433059449009191E-2</v>
      </c>
      <c r="J32" s="124">
        <f t="shared" si="1"/>
        <v>0.88103756708407865</v>
      </c>
      <c r="K32" s="70">
        <f t="shared" si="2"/>
        <v>34</v>
      </c>
      <c r="L32" s="70">
        <f t="shared" si="3"/>
        <v>985</v>
      </c>
      <c r="M32" s="124">
        <f>H32/H29</f>
        <v>0.10509219929039028</v>
      </c>
      <c r="N32" s="70">
        <v>2349</v>
      </c>
      <c r="O32" s="70">
        <v>1905</v>
      </c>
      <c r="P32" s="70">
        <v>2099</v>
      </c>
      <c r="Q32" s="70">
        <v>2103</v>
      </c>
      <c r="R32" s="70">
        <v>2160</v>
      </c>
      <c r="S32" s="124">
        <f t="shared" si="4"/>
        <v>2.7104136947218249E-2</v>
      </c>
      <c r="T32" s="124">
        <f t="shared" si="5"/>
        <v>-8.0459770114942541E-2</v>
      </c>
      <c r="U32" s="70">
        <f t="shared" si="6"/>
        <v>57</v>
      </c>
      <c r="V32" s="70">
        <f t="shared" si="7"/>
        <v>-189</v>
      </c>
      <c r="W32" s="124">
        <f>R32/R29</f>
        <v>0.1074039083088857</v>
      </c>
    </row>
    <row r="33" spans="2:23" x14ac:dyDescent="0.25">
      <c r="B33" s="120" t="s">
        <v>65</v>
      </c>
      <c r="C33" s="121">
        <v>5245</v>
      </c>
      <c r="D33" s="121">
        <v>2744.9999999999995</v>
      </c>
      <c r="E33" s="121">
        <v>2940</v>
      </c>
      <c r="F33" s="121">
        <v>4202</v>
      </c>
      <c r="G33" s="121">
        <v>4347</v>
      </c>
      <c r="H33" s="121">
        <v>4390</v>
      </c>
      <c r="I33" s="122">
        <f t="shared" si="0"/>
        <v>9.8918794570967972E-3</v>
      </c>
      <c r="J33" s="122">
        <f t="shared" si="1"/>
        <v>0.59927140255009137</v>
      </c>
      <c r="K33" s="121">
        <f t="shared" si="2"/>
        <v>43</v>
      </c>
      <c r="L33" s="121">
        <f t="shared" si="3"/>
        <v>1645.0000000000005</v>
      </c>
      <c r="M33" s="122">
        <f>H33/H29</f>
        <v>0.21937934136225076</v>
      </c>
      <c r="N33" s="121">
        <v>3332.9999999999995</v>
      </c>
      <c r="O33" s="121">
        <v>4349</v>
      </c>
      <c r="P33" s="121">
        <v>4347</v>
      </c>
      <c r="Q33" s="121">
        <v>4433</v>
      </c>
      <c r="R33" s="121">
        <v>4453</v>
      </c>
      <c r="S33" s="122">
        <f t="shared" si="4"/>
        <v>4.5116174148431831E-3</v>
      </c>
      <c r="T33" s="122">
        <f t="shared" si="5"/>
        <v>0.33603360336033616</v>
      </c>
      <c r="U33" s="121">
        <f t="shared" si="6"/>
        <v>20</v>
      </c>
      <c r="V33" s="121">
        <f t="shared" si="7"/>
        <v>1120.0000000000005</v>
      </c>
      <c r="W33" s="122">
        <f>R33/R29</f>
        <v>0.22142111282382779</v>
      </c>
    </row>
    <row r="34" spans="2:23" x14ac:dyDescent="0.25">
      <c r="B34" s="117" t="s">
        <v>51</v>
      </c>
      <c r="C34" s="125">
        <v>713</v>
      </c>
      <c r="D34" s="125">
        <v>339</v>
      </c>
      <c r="E34" s="125">
        <v>532</v>
      </c>
      <c r="F34" s="125">
        <v>654</v>
      </c>
      <c r="G34" s="125">
        <v>663</v>
      </c>
      <c r="H34" s="125">
        <v>673</v>
      </c>
      <c r="I34" s="126">
        <f t="shared" si="0"/>
        <v>1.5082956259426794E-2</v>
      </c>
      <c r="J34" s="126">
        <f t="shared" si="1"/>
        <v>0.98525073746312675</v>
      </c>
      <c r="K34" s="125">
        <f t="shared" si="2"/>
        <v>10</v>
      </c>
      <c r="L34" s="125">
        <f t="shared" si="3"/>
        <v>334</v>
      </c>
      <c r="M34" s="119">
        <f>H34/H34</f>
        <v>1</v>
      </c>
      <c r="N34" s="125">
        <v>625</v>
      </c>
      <c r="O34" s="125">
        <v>663</v>
      </c>
      <c r="P34" s="125">
        <v>673</v>
      </c>
      <c r="Q34" s="125">
        <v>673</v>
      </c>
      <c r="R34" s="125">
        <v>673</v>
      </c>
      <c r="S34" s="126">
        <f t="shared" si="4"/>
        <v>0</v>
      </c>
      <c r="T34" s="126">
        <f t="shared" si="5"/>
        <v>7.6799999999999979E-2</v>
      </c>
      <c r="U34" s="125">
        <f t="shared" si="6"/>
        <v>0</v>
      </c>
      <c r="V34" s="125">
        <f t="shared" si="7"/>
        <v>48</v>
      </c>
      <c r="W34" s="119">
        <f>R34/R34</f>
        <v>1</v>
      </c>
    </row>
    <row r="35" spans="2:23" x14ac:dyDescent="0.25">
      <c r="B35" s="120" t="s">
        <v>62</v>
      </c>
      <c r="C35" s="121">
        <v>713</v>
      </c>
      <c r="D35" s="121">
        <v>339</v>
      </c>
      <c r="E35" s="121">
        <v>532</v>
      </c>
      <c r="F35" s="121">
        <v>654</v>
      </c>
      <c r="G35" s="121">
        <v>663</v>
      </c>
      <c r="H35" s="121">
        <v>673</v>
      </c>
      <c r="I35" s="122">
        <f t="shared" si="0"/>
        <v>1.5082956259426794E-2</v>
      </c>
      <c r="J35" s="122">
        <f t="shared" si="1"/>
        <v>0.98525073746312675</v>
      </c>
      <c r="K35" s="121">
        <f t="shared" si="2"/>
        <v>10</v>
      </c>
      <c r="L35" s="121">
        <f t="shared" si="3"/>
        <v>334</v>
      </c>
      <c r="M35" s="122">
        <f>H35/H34</f>
        <v>1</v>
      </c>
      <c r="N35" s="121">
        <v>625</v>
      </c>
      <c r="O35" s="121">
        <v>663</v>
      </c>
      <c r="P35" s="121">
        <v>673</v>
      </c>
      <c r="Q35" s="121">
        <v>673</v>
      </c>
      <c r="R35" s="121">
        <v>673</v>
      </c>
      <c r="S35" s="122">
        <f t="shared" si="4"/>
        <v>0</v>
      </c>
      <c r="T35" s="122">
        <f t="shared" si="5"/>
        <v>7.6799999999999979E-2</v>
      </c>
      <c r="U35" s="121">
        <f t="shared" si="6"/>
        <v>0</v>
      </c>
      <c r="V35" s="121">
        <f t="shared" si="7"/>
        <v>48</v>
      </c>
      <c r="W35" s="122">
        <f>R35/R34</f>
        <v>1</v>
      </c>
    </row>
    <row r="36" spans="2:23" x14ac:dyDescent="0.25">
      <c r="B36" s="117" t="s">
        <v>52</v>
      </c>
      <c r="C36" s="125">
        <v>4124</v>
      </c>
      <c r="D36" s="125">
        <v>2132</v>
      </c>
      <c r="E36" s="125">
        <v>2908</v>
      </c>
      <c r="F36" s="125">
        <v>4497</v>
      </c>
      <c r="G36" s="125">
        <v>4790.0000000000009</v>
      </c>
      <c r="H36" s="125">
        <v>4797</v>
      </c>
      <c r="I36" s="126">
        <f t="shared" si="0"/>
        <v>1.4613778705634406E-3</v>
      </c>
      <c r="J36" s="126">
        <f t="shared" si="1"/>
        <v>1.25</v>
      </c>
      <c r="K36" s="125">
        <f t="shared" si="2"/>
        <v>6.9999999999990905</v>
      </c>
      <c r="L36" s="125">
        <f t="shared" si="3"/>
        <v>2665</v>
      </c>
      <c r="M36" s="126">
        <f>H36/H36</f>
        <v>1</v>
      </c>
      <c r="N36" s="125">
        <v>4169</v>
      </c>
      <c r="O36" s="125">
        <v>4791</v>
      </c>
      <c r="P36" s="125">
        <v>4763</v>
      </c>
      <c r="Q36" s="125">
        <v>4797</v>
      </c>
      <c r="R36" s="125">
        <v>4635</v>
      </c>
      <c r="S36" s="126">
        <f t="shared" si="4"/>
        <v>-3.3771106941838602E-2</v>
      </c>
      <c r="T36" s="126">
        <f t="shared" si="5"/>
        <v>0.11177740465339414</v>
      </c>
      <c r="U36" s="125">
        <f t="shared" si="6"/>
        <v>-162</v>
      </c>
      <c r="V36" s="125">
        <f t="shared" si="7"/>
        <v>466</v>
      </c>
      <c r="W36" s="126">
        <f>R36/R36</f>
        <v>1</v>
      </c>
    </row>
    <row r="37" spans="2:23" x14ac:dyDescent="0.25">
      <c r="B37" s="120" t="s">
        <v>62</v>
      </c>
      <c r="C37" s="121">
        <v>1801</v>
      </c>
      <c r="D37" s="121">
        <v>1559</v>
      </c>
      <c r="E37" s="121">
        <v>2544.9999999999995</v>
      </c>
      <c r="F37" s="121">
        <v>3640</v>
      </c>
      <c r="G37" s="121">
        <v>3915.0000000000005</v>
      </c>
      <c r="H37" s="121">
        <v>3915.0000000000005</v>
      </c>
      <c r="I37" s="122">
        <f t="shared" si="0"/>
        <v>0</v>
      </c>
      <c r="J37" s="122">
        <f t="shared" si="1"/>
        <v>1.5112251443232845</v>
      </c>
      <c r="K37" s="121">
        <f t="shared" si="2"/>
        <v>0</v>
      </c>
      <c r="L37" s="121">
        <f t="shared" si="3"/>
        <v>2356.0000000000005</v>
      </c>
      <c r="M37" s="122">
        <f>H37/H36</f>
        <v>0.8161350844277675</v>
      </c>
      <c r="N37" s="121">
        <v>3324.9999999999995</v>
      </c>
      <c r="O37" s="121">
        <v>3915.0000000000005</v>
      </c>
      <c r="P37" s="121">
        <v>3915.0000000000005</v>
      </c>
      <c r="Q37" s="121">
        <v>3915.0000000000005</v>
      </c>
      <c r="R37" s="121">
        <v>3752.9999999999995</v>
      </c>
      <c r="S37" s="122">
        <f t="shared" si="4"/>
        <v>-4.137931034482778E-2</v>
      </c>
      <c r="T37" s="122">
        <f t="shared" si="5"/>
        <v>0.12872180451127813</v>
      </c>
      <c r="U37" s="121">
        <f t="shared" si="6"/>
        <v>-162.00000000000091</v>
      </c>
      <c r="V37" s="121">
        <f t="shared" si="7"/>
        <v>428</v>
      </c>
      <c r="W37" s="122">
        <f>R37/R36</f>
        <v>0.8097087378640776</v>
      </c>
    </row>
    <row r="38" spans="2:23" x14ac:dyDescent="0.25">
      <c r="B38" s="120" t="s">
        <v>65</v>
      </c>
      <c r="C38" s="121">
        <v>2323</v>
      </c>
      <c r="D38" s="121">
        <v>573</v>
      </c>
      <c r="E38" s="121">
        <v>363</v>
      </c>
      <c r="F38" s="121">
        <v>857</v>
      </c>
      <c r="G38" s="121">
        <v>875</v>
      </c>
      <c r="H38" s="121">
        <v>882</v>
      </c>
      <c r="I38" s="122">
        <f t="shared" si="0"/>
        <v>8.0000000000000071E-3</v>
      </c>
      <c r="J38" s="122">
        <f t="shared" si="1"/>
        <v>0.53926701570680624</v>
      </c>
      <c r="K38" s="121">
        <f t="shared" si="2"/>
        <v>7</v>
      </c>
      <c r="L38" s="121">
        <f t="shared" si="3"/>
        <v>309</v>
      </c>
      <c r="M38" s="122">
        <f>H38/H36</f>
        <v>0.18386491557223264</v>
      </c>
      <c r="N38" s="121">
        <v>844</v>
      </c>
      <c r="O38" s="121">
        <v>876</v>
      </c>
      <c r="P38" s="121">
        <v>848</v>
      </c>
      <c r="Q38" s="121">
        <v>882</v>
      </c>
      <c r="R38" s="121">
        <v>882</v>
      </c>
      <c r="S38" s="122">
        <f t="shared" si="4"/>
        <v>0</v>
      </c>
      <c r="T38" s="122">
        <f t="shared" si="5"/>
        <v>4.502369668246442E-2</v>
      </c>
      <c r="U38" s="121">
        <f t="shared" si="6"/>
        <v>0</v>
      </c>
      <c r="V38" s="121">
        <f t="shared" si="7"/>
        <v>38</v>
      </c>
      <c r="W38" s="122">
        <f>R38/R36</f>
        <v>0.19029126213592232</v>
      </c>
    </row>
    <row r="39" spans="2:23" x14ac:dyDescent="0.25">
      <c r="B39" s="117" t="s">
        <v>53</v>
      </c>
      <c r="C39" s="125">
        <v>2690</v>
      </c>
      <c r="D39" s="125">
        <v>1526</v>
      </c>
      <c r="E39" s="125">
        <v>2270</v>
      </c>
      <c r="F39" s="125">
        <v>2680</v>
      </c>
      <c r="G39" s="125">
        <v>2774</v>
      </c>
      <c r="H39" s="125">
        <v>2714</v>
      </c>
      <c r="I39" s="126">
        <f t="shared" si="0"/>
        <v>-2.1629416005767843E-2</v>
      </c>
      <c r="J39" s="126">
        <f t="shared" si="1"/>
        <v>0.77850589777195278</v>
      </c>
      <c r="K39" s="125">
        <f t="shared" si="2"/>
        <v>-60</v>
      </c>
      <c r="L39" s="125">
        <f t="shared" si="3"/>
        <v>1188</v>
      </c>
      <c r="M39" s="119">
        <f>H39/H39</f>
        <v>1</v>
      </c>
      <c r="N39" s="125">
        <v>2484.9999999999995</v>
      </c>
      <c r="O39" s="125">
        <v>2832</v>
      </c>
      <c r="P39" s="125">
        <v>2758</v>
      </c>
      <c r="Q39" s="125">
        <v>2672.9999999999995</v>
      </c>
      <c r="R39" s="125">
        <v>2675.0000000000005</v>
      </c>
      <c r="S39" s="126">
        <f t="shared" si="4"/>
        <v>7.4822297044563335E-4</v>
      </c>
      <c r="T39" s="126">
        <f t="shared" si="5"/>
        <v>7.6458752515090822E-2</v>
      </c>
      <c r="U39" s="125">
        <f t="shared" si="6"/>
        <v>2.0000000000009095</v>
      </c>
      <c r="V39" s="125">
        <f t="shared" si="7"/>
        <v>190.00000000000091</v>
      </c>
      <c r="W39" s="119">
        <f>R39/R39</f>
        <v>1</v>
      </c>
    </row>
    <row r="40" spans="2:23" x14ac:dyDescent="0.25">
      <c r="B40" s="120" t="s">
        <v>62</v>
      </c>
      <c r="C40" s="121">
        <v>2690</v>
      </c>
      <c r="D40" s="121">
        <v>1526</v>
      </c>
      <c r="E40" s="121">
        <v>2270</v>
      </c>
      <c r="F40" s="121">
        <v>2680</v>
      </c>
      <c r="G40" s="121">
        <v>2774</v>
      </c>
      <c r="H40" s="121">
        <v>2714</v>
      </c>
      <c r="I40" s="122">
        <f t="shared" si="0"/>
        <v>-2.1629416005767843E-2</v>
      </c>
      <c r="J40" s="122">
        <f t="shared" si="1"/>
        <v>0.77850589777195278</v>
      </c>
      <c r="K40" s="121">
        <f t="shared" si="2"/>
        <v>-60</v>
      </c>
      <c r="L40" s="121">
        <f t="shared" si="3"/>
        <v>1188</v>
      </c>
      <c r="M40" s="122">
        <f>H40/H39</f>
        <v>1</v>
      </c>
      <c r="N40" s="121">
        <v>2484.9999999999995</v>
      </c>
      <c r="O40" s="121">
        <v>2832</v>
      </c>
      <c r="P40" s="121">
        <v>2758</v>
      </c>
      <c r="Q40" s="121">
        <v>2672.9999999999995</v>
      </c>
      <c r="R40" s="121">
        <v>2675.0000000000005</v>
      </c>
      <c r="S40" s="122">
        <f t="shared" si="4"/>
        <v>7.4822297044563335E-4</v>
      </c>
      <c r="T40" s="122">
        <f t="shared" si="5"/>
        <v>7.6458752515090822E-2</v>
      </c>
      <c r="U40" s="121">
        <f t="shared" si="6"/>
        <v>2.0000000000009095</v>
      </c>
      <c r="V40" s="121">
        <f t="shared" si="7"/>
        <v>190.00000000000091</v>
      </c>
      <c r="W40" s="122">
        <f>R40/R39</f>
        <v>1</v>
      </c>
    </row>
    <row r="41" spans="2:23" x14ac:dyDescent="0.25">
      <c r="B41" s="123" t="s">
        <v>63</v>
      </c>
      <c r="C41" s="70">
        <v>1381</v>
      </c>
      <c r="D41" s="70">
        <v>846</v>
      </c>
      <c r="E41" s="70">
        <v>1514</v>
      </c>
      <c r="F41" s="70">
        <v>1660</v>
      </c>
      <c r="G41" s="70">
        <v>1674</v>
      </c>
      <c r="H41" s="70">
        <v>1711</v>
      </c>
      <c r="I41" s="124">
        <f t="shared" si="0"/>
        <v>2.2102747909199527E-2</v>
      </c>
      <c r="J41" s="124">
        <f t="shared" si="1"/>
        <v>1.0224586288416075</v>
      </c>
      <c r="K41" s="70">
        <f t="shared" si="2"/>
        <v>37</v>
      </c>
      <c r="L41" s="70">
        <f t="shared" si="3"/>
        <v>865</v>
      </c>
      <c r="M41" s="124">
        <f>H41/H39</f>
        <v>0.63043478260869568</v>
      </c>
      <c r="N41" s="70">
        <v>1658</v>
      </c>
      <c r="O41" s="70">
        <v>1674</v>
      </c>
      <c r="P41" s="70">
        <v>1674</v>
      </c>
      <c r="Q41" s="70">
        <v>1847</v>
      </c>
      <c r="R41" s="70">
        <v>1847</v>
      </c>
      <c r="S41" s="124">
        <f t="shared" si="4"/>
        <v>0</v>
      </c>
      <c r="T41" s="124">
        <f t="shared" si="5"/>
        <v>0.11399276236429423</v>
      </c>
      <c r="U41" s="70">
        <f t="shared" si="6"/>
        <v>0</v>
      </c>
      <c r="V41" s="70">
        <f t="shared" si="7"/>
        <v>189</v>
      </c>
      <c r="W41" s="124">
        <f>R41/R39</f>
        <v>0.69046728971962601</v>
      </c>
    </row>
    <row r="42" spans="2:23" x14ac:dyDescent="0.25">
      <c r="B42" s="123" t="s">
        <v>64</v>
      </c>
      <c r="C42" s="70">
        <v>1309</v>
      </c>
      <c r="D42" s="70">
        <v>680</v>
      </c>
      <c r="E42" s="70">
        <v>756</v>
      </c>
      <c r="F42" s="70">
        <v>1020</v>
      </c>
      <c r="G42" s="70">
        <v>1100</v>
      </c>
      <c r="H42" s="70">
        <v>1003</v>
      </c>
      <c r="I42" s="124">
        <f t="shared" si="0"/>
        <v>-8.8181818181818139E-2</v>
      </c>
      <c r="J42" s="124">
        <f t="shared" si="1"/>
        <v>0.47500000000000009</v>
      </c>
      <c r="K42" s="70">
        <f t="shared" si="2"/>
        <v>-97</v>
      </c>
      <c r="L42" s="70">
        <f t="shared" si="3"/>
        <v>323</v>
      </c>
      <c r="M42" s="124">
        <f>H42/H39</f>
        <v>0.36956521739130432</v>
      </c>
      <c r="N42" s="70">
        <v>827</v>
      </c>
      <c r="O42" s="70">
        <v>1158</v>
      </c>
      <c r="P42" s="70">
        <v>1084</v>
      </c>
      <c r="Q42" s="70">
        <v>826</v>
      </c>
      <c r="R42" s="70">
        <v>828</v>
      </c>
      <c r="S42" s="124">
        <f t="shared" si="4"/>
        <v>2.421307506053294E-3</v>
      </c>
      <c r="T42" s="124">
        <f t="shared" si="5"/>
        <v>1.2091898428052694E-3</v>
      </c>
      <c r="U42" s="70">
        <f t="shared" si="6"/>
        <v>2</v>
      </c>
      <c r="V42" s="70">
        <f t="shared" si="7"/>
        <v>1</v>
      </c>
      <c r="W42" s="124">
        <f>R42/R39</f>
        <v>0.30953271028037377</v>
      </c>
    </row>
    <row r="43" spans="2:23" x14ac:dyDescent="0.25">
      <c r="B43" s="117" t="s">
        <v>54</v>
      </c>
      <c r="C43" s="125">
        <v>6889.9999999999991</v>
      </c>
      <c r="D43" s="125">
        <v>3786</v>
      </c>
      <c r="E43" s="125">
        <v>4393</v>
      </c>
      <c r="F43" s="125">
        <v>6413</v>
      </c>
      <c r="G43" s="125">
        <v>6356</v>
      </c>
      <c r="H43" s="125">
        <v>6429</v>
      </c>
      <c r="I43" s="126">
        <f t="shared" si="0"/>
        <v>1.1485210824417891E-2</v>
      </c>
      <c r="J43" s="126">
        <f t="shared" si="1"/>
        <v>0.69809825673534065</v>
      </c>
      <c r="K43" s="125">
        <f t="shared" si="2"/>
        <v>73</v>
      </c>
      <c r="L43" s="125">
        <f t="shared" si="3"/>
        <v>2643</v>
      </c>
      <c r="M43" s="119">
        <f>H43/H43</f>
        <v>1</v>
      </c>
      <c r="N43" s="125">
        <v>6412</v>
      </c>
      <c r="O43" s="125">
        <v>6415</v>
      </c>
      <c r="P43" s="125">
        <v>6415</v>
      </c>
      <c r="Q43" s="125">
        <v>6415</v>
      </c>
      <c r="R43" s="125">
        <v>6497</v>
      </c>
      <c r="S43" s="126">
        <f t="shared" si="4"/>
        <v>1.278254091971931E-2</v>
      </c>
      <c r="T43" s="126">
        <f t="shared" si="5"/>
        <v>1.3256394260761084E-2</v>
      </c>
      <c r="U43" s="125">
        <f t="shared" si="6"/>
        <v>82</v>
      </c>
      <c r="V43" s="125">
        <f t="shared" si="7"/>
        <v>85</v>
      </c>
      <c r="W43" s="119">
        <f>R43/R43</f>
        <v>1</v>
      </c>
    </row>
    <row r="44" spans="2:23" x14ac:dyDescent="0.25">
      <c r="B44" s="120" t="s">
        <v>62</v>
      </c>
      <c r="C44" s="121">
        <v>4440</v>
      </c>
      <c r="D44" s="121">
        <v>2472</v>
      </c>
      <c r="E44" s="121">
        <v>2822</v>
      </c>
      <c r="F44" s="121">
        <v>4753</v>
      </c>
      <c r="G44" s="121">
        <v>4696</v>
      </c>
      <c r="H44" s="121">
        <v>4755</v>
      </c>
      <c r="I44" s="122">
        <f t="shared" si="0"/>
        <v>1.2563884156729044E-2</v>
      </c>
      <c r="J44" s="122">
        <f t="shared" si="1"/>
        <v>0.92354368932038833</v>
      </c>
      <c r="K44" s="121">
        <f t="shared" si="2"/>
        <v>59</v>
      </c>
      <c r="L44" s="121">
        <f t="shared" si="3"/>
        <v>2283</v>
      </c>
      <c r="M44" s="122">
        <f>H44/H43</f>
        <v>0.73961735884274382</v>
      </c>
      <c r="N44" s="121">
        <v>4752</v>
      </c>
      <c r="O44" s="121">
        <v>4755</v>
      </c>
      <c r="P44" s="121">
        <v>4755</v>
      </c>
      <c r="Q44" s="121">
        <v>4755</v>
      </c>
      <c r="R44" s="121">
        <v>4755</v>
      </c>
      <c r="S44" s="122">
        <f t="shared" si="4"/>
        <v>0</v>
      </c>
      <c r="T44" s="122">
        <f t="shared" si="5"/>
        <v>6.3131313131314926E-4</v>
      </c>
      <c r="U44" s="121">
        <f t="shared" si="6"/>
        <v>0</v>
      </c>
      <c r="V44" s="121">
        <f t="shared" si="7"/>
        <v>3</v>
      </c>
      <c r="W44" s="122">
        <f>R44/R43</f>
        <v>0.73187625057718952</v>
      </c>
    </row>
    <row r="45" spans="2:23" x14ac:dyDescent="0.25">
      <c r="B45" s="123" t="s">
        <v>63</v>
      </c>
      <c r="C45" s="70">
        <v>3379.0000000000005</v>
      </c>
      <c r="D45" s="70">
        <v>0</v>
      </c>
      <c r="E45" s="70">
        <v>2173</v>
      </c>
      <c r="F45" s="70">
        <v>3692</v>
      </c>
      <c r="G45" s="70">
        <v>3635.0000000000005</v>
      </c>
      <c r="H45" s="70">
        <v>3694</v>
      </c>
      <c r="I45" s="124">
        <f t="shared" si="0"/>
        <v>1.6231086657496396E-2</v>
      </c>
      <c r="J45" s="124" t="str">
        <f t="shared" si="1"/>
        <v>-</v>
      </c>
      <c r="K45" s="70">
        <f t="shared" si="2"/>
        <v>58.999999999999545</v>
      </c>
      <c r="L45" s="70">
        <f t="shared" si="3"/>
        <v>3694</v>
      </c>
      <c r="M45" s="124">
        <f>H45/H43</f>
        <v>0.57458391662778041</v>
      </c>
      <c r="N45" s="70">
        <v>3691.0000000000005</v>
      </c>
      <c r="O45" s="70">
        <v>3694</v>
      </c>
      <c r="P45" s="70">
        <v>3694</v>
      </c>
      <c r="Q45" s="70">
        <v>3694</v>
      </c>
      <c r="R45" s="70">
        <v>3694</v>
      </c>
      <c r="S45" s="124">
        <f t="shared" si="4"/>
        <v>0</v>
      </c>
      <c r="T45" s="124">
        <f t="shared" si="5"/>
        <v>8.127878623678253E-4</v>
      </c>
      <c r="U45" s="70">
        <f t="shared" si="6"/>
        <v>0</v>
      </c>
      <c r="V45" s="70">
        <f t="shared" si="7"/>
        <v>2.9999999999995453</v>
      </c>
      <c r="W45" s="124">
        <f>R45/R43</f>
        <v>0.56857010928120666</v>
      </c>
    </row>
    <row r="46" spans="2:23" x14ac:dyDescent="0.25">
      <c r="B46" s="123" t="s">
        <v>64</v>
      </c>
      <c r="C46" s="70">
        <v>1061</v>
      </c>
      <c r="D46" s="70">
        <v>0</v>
      </c>
      <c r="E46" s="70">
        <v>649</v>
      </c>
      <c r="F46" s="70">
        <v>1061</v>
      </c>
      <c r="G46" s="70">
        <v>1061</v>
      </c>
      <c r="H46" s="70">
        <v>1061</v>
      </c>
      <c r="I46" s="124">
        <f t="shared" si="0"/>
        <v>0</v>
      </c>
      <c r="J46" s="124" t="str">
        <f t="shared" si="1"/>
        <v>-</v>
      </c>
      <c r="K46" s="70">
        <f t="shared" si="2"/>
        <v>0</v>
      </c>
      <c r="L46" s="70">
        <f t="shared" si="3"/>
        <v>1061</v>
      </c>
      <c r="M46" s="124">
        <f>H46/H43</f>
        <v>0.16503344221496344</v>
      </c>
      <c r="N46" s="70">
        <v>1061</v>
      </c>
      <c r="O46" s="70">
        <v>1061</v>
      </c>
      <c r="P46" s="70">
        <v>1061</v>
      </c>
      <c r="Q46" s="70">
        <v>1061</v>
      </c>
      <c r="R46" s="70">
        <v>1061</v>
      </c>
      <c r="S46" s="124">
        <f t="shared" si="4"/>
        <v>0</v>
      </c>
      <c r="T46" s="124">
        <f t="shared" si="5"/>
        <v>0</v>
      </c>
      <c r="U46" s="70">
        <f t="shared" si="6"/>
        <v>0</v>
      </c>
      <c r="V46" s="70">
        <f t="shared" si="7"/>
        <v>0</v>
      </c>
      <c r="W46" s="124">
        <f>R46/R43</f>
        <v>0.16330614129598275</v>
      </c>
    </row>
    <row r="47" spans="2:23" x14ac:dyDescent="0.25">
      <c r="B47" s="120" t="s">
        <v>65</v>
      </c>
      <c r="C47" s="121">
        <v>2450</v>
      </c>
      <c r="D47" s="121">
        <v>1314</v>
      </c>
      <c r="E47" s="121">
        <v>1571</v>
      </c>
      <c r="F47" s="121">
        <v>1660</v>
      </c>
      <c r="G47" s="121">
        <v>1660</v>
      </c>
      <c r="H47" s="121">
        <v>1674</v>
      </c>
      <c r="I47" s="122">
        <f t="shared" si="0"/>
        <v>8.4337349397589634E-3</v>
      </c>
      <c r="J47" s="122">
        <f t="shared" si="1"/>
        <v>0.27397260273972601</v>
      </c>
      <c r="K47" s="121">
        <f t="shared" si="2"/>
        <v>14</v>
      </c>
      <c r="L47" s="121">
        <f t="shared" si="3"/>
        <v>360</v>
      </c>
      <c r="M47" s="122">
        <f>H47/H43</f>
        <v>0.26038264115725618</v>
      </c>
      <c r="N47" s="121">
        <v>1660</v>
      </c>
      <c r="O47" s="121">
        <v>1660</v>
      </c>
      <c r="P47" s="121">
        <v>1660</v>
      </c>
      <c r="Q47" s="121">
        <v>1660</v>
      </c>
      <c r="R47" s="121">
        <v>1742</v>
      </c>
      <c r="S47" s="122">
        <f t="shared" si="4"/>
        <v>4.9397590361445864E-2</v>
      </c>
      <c r="T47" s="122">
        <f t="shared" si="5"/>
        <v>4.9397590361445864E-2</v>
      </c>
      <c r="U47" s="121">
        <f t="shared" si="6"/>
        <v>82</v>
      </c>
      <c r="V47" s="121">
        <f t="shared" si="7"/>
        <v>82</v>
      </c>
      <c r="W47" s="122">
        <f>R47/R43</f>
        <v>0.26812374942281053</v>
      </c>
    </row>
    <row r="48" spans="2:23" x14ac:dyDescent="0.25">
      <c r="B48" s="117" t="s">
        <v>55</v>
      </c>
      <c r="C48" s="125">
        <v>3382</v>
      </c>
      <c r="D48" s="125">
        <v>2158</v>
      </c>
      <c r="E48" s="125">
        <v>2862</v>
      </c>
      <c r="F48" s="125">
        <v>3212</v>
      </c>
      <c r="G48" s="125">
        <v>3072</v>
      </c>
      <c r="H48" s="125">
        <v>3096</v>
      </c>
      <c r="I48" s="126">
        <f t="shared" si="0"/>
        <v>7.8125E-3</v>
      </c>
      <c r="J48" s="126">
        <f t="shared" si="1"/>
        <v>0.43466172381835033</v>
      </c>
      <c r="K48" s="125">
        <f t="shared" si="2"/>
        <v>24</v>
      </c>
      <c r="L48" s="125">
        <f t="shared" si="3"/>
        <v>938</v>
      </c>
      <c r="M48" s="119">
        <f>H48/H48</f>
        <v>1</v>
      </c>
      <c r="N48" s="125">
        <v>3464.9999999999995</v>
      </c>
      <c r="O48" s="125">
        <v>3080.9999999999995</v>
      </c>
      <c r="P48" s="125">
        <v>3106</v>
      </c>
      <c r="Q48" s="125">
        <v>3112.9999999999995</v>
      </c>
      <c r="R48" s="125">
        <v>3112.9999999999995</v>
      </c>
      <c r="S48" s="126">
        <f t="shared" si="4"/>
        <v>0</v>
      </c>
      <c r="T48" s="126">
        <f t="shared" si="5"/>
        <v>-0.10158730158730156</v>
      </c>
      <c r="U48" s="125">
        <f t="shared" si="6"/>
        <v>0</v>
      </c>
      <c r="V48" s="125">
        <f t="shared" si="7"/>
        <v>-352</v>
      </c>
      <c r="W48" s="119">
        <f>R48/R48</f>
        <v>1</v>
      </c>
    </row>
    <row r="49" spans="2:23" x14ac:dyDescent="0.25">
      <c r="B49" s="120" t="s">
        <v>62</v>
      </c>
      <c r="C49" s="121">
        <v>3115.0000000000005</v>
      </c>
      <c r="D49" s="121">
        <v>2065</v>
      </c>
      <c r="E49" s="121">
        <v>2788.9999999999995</v>
      </c>
      <c r="F49" s="121">
        <v>3008</v>
      </c>
      <c r="G49" s="121">
        <v>2663.0000000000005</v>
      </c>
      <c r="H49" s="121">
        <v>2710</v>
      </c>
      <c r="I49" s="122">
        <f t="shared" si="0"/>
        <v>1.7649267743146568E-2</v>
      </c>
      <c r="J49" s="122">
        <f t="shared" si="1"/>
        <v>0.3123486682808716</v>
      </c>
      <c r="K49" s="121">
        <f t="shared" si="2"/>
        <v>46.999999999999545</v>
      </c>
      <c r="L49" s="121">
        <f t="shared" si="3"/>
        <v>645</v>
      </c>
      <c r="M49" s="122">
        <f>H49/H48</f>
        <v>0.87532299741602071</v>
      </c>
      <c r="N49" s="121">
        <v>3260.9999999999995</v>
      </c>
      <c r="O49" s="121">
        <v>2876.9999999999995</v>
      </c>
      <c r="P49" s="121">
        <v>2692</v>
      </c>
      <c r="Q49" s="121">
        <v>2724.9999999999995</v>
      </c>
      <c r="R49" s="121">
        <v>2724.9999999999995</v>
      </c>
      <c r="S49" s="122">
        <f t="shared" si="4"/>
        <v>0</v>
      </c>
      <c r="T49" s="122">
        <f t="shared" si="5"/>
        <v>-0.16436675866298689</v>
      </c>
      <c r="U49" s="121">
        <f t="shared" si="6"/>
        <v>0</v>
      </c>
      <c r="V49" s="121">
        <f t="shared" si="7"/>
        <v>-536</v>
      </c>
      <c r="W49" s="122">
        <f>R49/R48</f>
        <v>0.87536138772887884</v>
      </c>
    </row>
    <row r="50" spans="2:23" x14ac:dyDescent="0.25">
      <c r="B50" s="123" t="s">
        <v>63</v>
      </c>
      <c r="C50" s="70">
        <v>2464.9999999999995</v>
      </c>
      <c r="D50" s="70">
        <v>1643</v>
      </c>
      <c r="E50" s="70">
        <v>2193</v>
      </c>
      <c r="F50" s="70">
        <v>2189</v>
      </c>
      <c r="G50" s="70">
        <v>2050</v>
      </c>
      <c r="H50" s="70">
        <v>2053</v>
      </c>
      <c r="I50" s="124">
        <f t="shared" si="0"/>
        <v>1.4634146341463428E-3</v>
      </c>
      <c r="J50" s="124">
        <f t="shared" si="1"/>
        <v>0.24954351795496055</v>
      </c>
      <c r="K50" s="70">
        <f t="shared" si="2"/>
        <v>3</v>
      </c>
      <c r="L50" s="70">
        <f t="shared" si="3"/>
        <v>410</v>
      </c>
      <c r="M50" s="124">
        <f>H50/H48</f>
        <v>0.66311369509043927</v>
      </c>
      <c r="N50" s="70">
        <v>2464.9999999999995</v>
      </c>
      <c r="O50" s="70">
        <v>2053</v>
      </c>
      <c r="P50" s="70">
        <v>2053</v>
      </c>
      <c r="Q50" s="70">
        <v>2053</v>
      </c>
      <c r="R50" s="70">
        <v>2053</v>
      </c>
      <c r="S50" s="124">
        <f t="shared" si="4"/>
        <v>0</v>
      </c>
      <c r="T50" s="124">
        <f t="shared" si="5"/>
        <v>-0.16713995943204851</v>
      </c>
      <c r="U50" s="70">
        <f t="shared" si="6"/>
        <v>0</v>
      </c>
      <c r="V50" s="70">
        <f t="shared" si="7"/>
        <v>-411.99999999999955</v>
      </c>
      <c r="W50" s="124">
        <f>R50/R48</f>
        <v>0.65949245101188569</v>
      </c>
    </row>
    <row r="51" spans="2:23" x14ac:dyDescent="0.25">
      <c r="B51" s="123" t="s">
        <v>64</v>
      </c>
      <c r="C51" s="70">
        <v>650</v>
      </c>
      <c r="D51" s="70">
        <v>422</v>
      </c>
      <c r="E51" s="70">
        <v>596</v>
      </c>
      <c r="F51" s="70">
        <v>819</v>
      </c>
      <c r="G51" s="70">
        <v>613</v>
      </c>
      <c r="H51" s="70">
        <v>657</v>
      </c>
      <c r="I51" s="124">
        <f t="shared" si="0"/>
        <v>7.1778140293637938E-2</v>
      </c>
      <c r="J51" s="124">
        <f t="shared" si="1"/>
        <v>0.55687203791469186</v>
      </c>
      <c r="K51" s="70">
        <f t="shared" si="2"/>
        <v>44</v>
      </c>
      <c r="L51" s="70">
        <f t="shared" si="3"/>
        <v>235</v>
      </c>
      <c r="M51" s="124">
        <f>H51/H48</f>
        <v>0.21220930232558138</v>
      </c>
      <c r="N51" s="70">
        <v>796</v>
      </c>
      <c r="O51" s="70">
        <v>824</v>
      </c>
      <c r="P51" s="70">
        <v>639</v>
      </c>
      <c r="Q51" s="70">
        <v>672</v>
      </c>
      <c r="R51" s="70">
        <v>672</v>
      </c>
      <c r="S51" s="124">
        <f t="shared" si="4"/>
        <v>0</v>
      </c>
      <c r="T51" s="124">
        <f t="shared" si="5"/>
        <v>-0.15577889447236182</v>
      </c>
      <c r="U51" s="70">
        <f t="shared" si="6"/>
        <v>0</v>
      </c>
      <c r="V51" s="70">
        <f t="shared" si="7"/>
        <v>-124</v>
      </c>
      <c r="W51" s="124">
        <f>R51/R48</f>
        <v>0.21586893671699328</v>
      </c>
    </row>
    <row r="52" spans="2:23" x14ac:dyDescent="0.25">
      <c r="B52" s="120" t="s">
        <v>65</v>
      </c>
      <c r="C52" s="121">
        <v>333</v>
      </c>
      <c r="D52" s="121">
        <v>460</v>
      </c>
      <c r="E52" s="121">
        <v>774</v>
      </c>
      <c r="F52" s="121">
        <v>904</v>
      </c>
      <c r="G52" s="121">
        <v>1110</v>
      </c>
      <c r="H52" s="121">
        <v>1086</v>
      </c>
      <c r="I52" s="122">
        <f t="shared" si="0"/>
        <v>-2.1621621621621623E-2</v>
      </c>
      <c r="J52" s="122">
        <f t="shared" si="1"/>
        <v>1.3608695652173912</v>
      </c>
      <c r="K52" s="121">
        <f t="shared" si="2"/>
        <v>-24</v>
      </c>
      <c r="L52" s="121">
        <f t="shared" si="3"/>
        <v>626</v>
      </c>
      <c r="M52" s="122">
        <f>H52/H48</f>
        <v>0.35077519379844962</v>
      </c>
      <c r="N52" s="121">
        <v>904</v>
      </c>
      <c r="O52" s="121">
        <v>904</v>
      </c>
      <c r="P52" s="121">
        <v>1114</v>
      </c>
      <c r="Q52" s="121">
        <v>1088</v>
      </c>
      <c r="R52" s="121">
        <v>1088</v>
      </c>
      <c r="S52" s="122">
        <f t="shared" si="4"/>
        <v>0</v>
      </c>
      <c r="T52" s="122">
        <f t="shared" si="5"/>
        <v>0.20353982300884965</v>
      </c>
      <c r="U52" s="121">
        <f t="shared" si="6"/>
        <v>0</v>
      </c>
      <c r="V52" s="121">
        <f t="shared" si="7"/>
        <v>184</v>
      </c>
      <c r="W52" s="122">
        <f>R52/R48</f>
        <v>0.34950208801798915</v>
      </c>
    </row>
    <row r="53" spans="2:23" ht="6.95" customHeight="1" x14ac:dyDescent="0.25">
      <c r="B53" s="127"/>
      <c r="C53" s="128"/>
      <c r="D53" s="128"/>
      <c r="E53" s="128"/>
      <c r="F53" s="128"/>
      <c r="G53" s="129"/>
      <c r="H53" s="128"/>
      <c r="I53" s="130"/>
      <c r="J53" s="130"/>
      <c r="K53" s="128"/>
      <c r="L53" s="130"/>
      <c r="M53" s="130"/>
      <c r="N53" s="128"/>
      <c r="O53" s="128"/>
      <c r="P53" s="128"/>
      <c r="Q53" s="128"/>
      <c r="R53" s="130"/>
      <c r="S53" s="130"/>
      <c r="T53" s="130"/>
      <c r="U53" s="130"/>
      <c r="V53" s="130"/>
    </row>
    <row r="54" spans="2:23" ht="15" customHeight="1" x14ac:dyDescent="0.25">
      <c r="B54" s="131" t="s">
        <v>57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</sheetData>
  <mergeCells count="2">
    <mergeCell ref="C5:H5"/>
    <mergeCell ref="N5:R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21588-2229-45E9-B6B2-619454A999A5}">
  <sheetPr>
    <tabColor rgb="FF92D050"/>
  </sheetPr>
  <dimension ref="B1:S54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25.7109375" customWidth="1"/>
    <col min="3" max="8" width="9.85546875" customWidth="1"/>
    <col min="9" max="9" width="10.7109375" customWidth="1"/>
    <col min="10" max="10" width="9.28515625" customWidth="1"/>
    <col min="11" max="11" width="12.28515625" customWidth="1"/>
    <col min="12" max="16" width="11.5703125" customWidth="1"/>
    <col min="17" max="17" width="10.7109375" customWidth="1"/>
    <col min="18" max="18" width="9.85546875" customWidth="1"/>
    <col min="20" max="20" width="14.42578125" customWidth="1"/>
    <col min="21" max="22" width="7.85546875" customWidth="1"/>
    <col min="23" max="23" width="8.140625" customWidth="1"/>
    <col min="24" max="24" width="9" customWidth="1"/>
    <col min="25" max="26" width="9.42578125" customWidth="1"/>
  </cols>
  <sheetData>
    <row r="1" spans="2:19" ht="42.75" customHeight="1" x14ac:dyDescent="0.25"/>
    <row r="3" spans="2:19" ht="30.75" customHeight="1" thickBot="1" x14ac:dyDescent="0.3">
      <c r="B3" s="106" t="str">
        <f>CONCATENATE("Establecimientos alojativos en funcionamiento en Tenerife y municipios")</f>
        <v>Establecimientos alojativos en funcionamiento en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2:19" ht="6.95" customHeight="1" x14ac:dyDescent="0.25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7"/>
      <c r="P4" s="108"/>
      <c r="Q4" s="108"/>
      <c r="R4" s="108"/>
      <c r="S4" s="108"/>
    </row>
    <row r="5" spans="2:19" ht="15.75" thickBot="1" x14ac:dyDescent="0.3">
      <c r="B5" s="109"/>
      <c r="C5" s="110" t="s">
        <v>66</v>
      </c>
      <c r="D5" s="110"/>
      <c r="E5" s="110"/>
      <c r="F5" s="110"/>
      <c r="G5" s="110"/>
      <c r="H5" s="110"/>
      <c r="I5" s="111"/>
      <c r="J5" s="111"/>
      <c r="K5" s="112"/>
      <c r="L5" s="113" t="s">
        <v>67</v>
      </c>
      <c r="M5" s="113"/>
      <c r="N5" s="113"/>
      <c r="O5" s="113"/>
      <c r="P5" s="113"/>
      <c r="Q5" s="111"/>
      <c r="R5" s="111"/>
      <c r="S5" s="112"/>
    </row>
    <row r="6" spans="2:19" ht="59.25" customHeight="1" x14ac:dyDescent="0.25">
      <c r="B6" s="114"/>
      <c r="C6" s="15">
        <v>2019</v>
      </c>
      <c r="D6" s="15">
        <v>2020</v>
      </c>
      <c r="E6" s="15">
        <v>2021</v>
      </c>
      <c r="F6" s="15">
        <v>2022</v>
      </c>
      <c r="G6" s="15">
        <v>2023</v>
      </c>
      <c r="H6" s="15">
        <v>2024</v>
      </c>
      <c r="I6" s="115" t="str">
        <f>CONCATENATE("var. ",RIGHT(H6,2),"/",RIGHT(G6,2))</f>
        <v>var. 24/23</v>
      </c>
      <c r="J6" s="115" t="str">
        <f>CONCATENATE("dif. ",RIGHT(H6,2),"/",RIGHT(G6,2))</f>
        <v>dif. 24/23</v>
      </c>
      <c r="K6" s="15" t="str">
        <f>CONCATENATE("cuota/ total isla ",RIGHT(H6,2))</f>
        <v>cuota/ total isla 24</v>
      </c>
      <c r="L6" s="116" t="s">
        <v>228</v>
      </c>
      <c r="M6" s="116" t="s">
        <v>229</v>
      </c>
      <c r="N6" s="116" t="s">
        <v>230</v>
      </c>
      <c r="O6" s="116" t="s">
        <v>231</v>
      </c>
      <c r="P6" s="116" t="s">
        <v>232</v>
      </c>
      <c r="Q6" s="115" t="str">
        <f>CONCATENATE("var. ",RIGHT(P6,2),"/",RIGHT(O6,2))</f>
        <v>var. 25/24</v>
      </c>
      <c r="R6" s="115" t="str">
        <f>CONCATENATE("dif. ",RIGHT(P6,2),"/",RIGHT(O6,2))</f>
        <v>dif. 25/24</v>
      </c>
      <c r="S6" s="112" t="str">
        <f>CONCATENATE("cuota/ total isla ",RIGHT(P6,2))</f>
        <v>cuota/ total isla 25</v>
      </c>
    </row>
    <row r="7" spans="2:19" x14ac:dyDescent="0.25">
      <c r="B7" s="117" t="s">
        <v>45</v>
      </c>
      <c r="C7" s="118">
        <v>388</v>
      </c>
      <c r="D7" s="118">
        <v>173</v>
      </c>
      <c r="E7" s="118">
        <v>195</v>
      </c>
      <c r="F7" s="118">
        <v>293</v>
      </c>
      <c r="G7" s="118">
        <v>308</v>
      </c>
      <c r="H7" s="118">
        <v>321</v>
      </c>
      <c r="I7" s="119">
        <f>IFERROR(H7/G7-1,"-")</f>
        <v>4.2207792207792139E-2</v>
      </c>
      <c r="J7" s="118">
        <f>IFERROR(H7-G7,"-")</f>
        <v>13</v>
      </c>
      <c r="K7" s="119">
        <f>H7/H7</f>
        <v>1</v>
      </c>
      <c r="L7" s="118">
        <v>266</v>
      </c>
      <c r="M7" s="118">
        <v>299</v>
      </c>
      <c r="N7" s="118">
        <v>313</v>
      </c>
      <c r="O7" s="118">
        <v>324</v>
      </c>
      <c r="P7" s="118">
        <v>327</v>
      </c>
      <c r="Q7" s="119">
        <f t="shared" ref="Q7:Q52" si="0">IFERROR(P7/O7-1,"-")</f>
        <v>9.2592592592593004E-3</v>
      </c>
      <c r="R7" s="118">
        <f t="shared" ref="R7:R52" si="1">IFERROR(P7-O7,"-")</f>
        <v>3</v>
      </c>
      <c r="S7" s="119">
        <f>P7/P7</f>
        <v>1</v>
      </c>
    </row>
    <row r="8" spans="2:19" x14ac:dyDescent="0.25">
      <c r="B8" s="120" t="s">
        <v>62</v>
      </c>
      <c r="C8" s="121">
        <v>230</v>
      </c>
      <c r="D8" s="121">
        <v>104</v>
      </c>
      <c r="E8" s="121">
        <v>124</v>
      </c>
      <c r="F8" s="121">
        <v>194</v>
      </c>
      <c r="G8" s="121">
        <v>199</v>
      </c>
      <c r="H8" s="121">
        <v>210</v>
      </c>
      <c r="I8" s="122">
        <f t="shared" ref="I8:I52" si="2">IFERROR(H8/G8-1,"-")</f>
        <v>5.5276381909547645E-2</v>
      </c>
      <c r="J8" s="121">
        <f t="shared" ref="J8:J52" si="3">IFERROR(H8-G8,"-")</f>
        <v>11</v>
      </c>
      <c r="K8" s="122">
        <f>H8/H7</f>
        <v>0.65420560747663548</v>
      </c>
      <c r="L8" s="121">
        <v>177</v>
      </c>
      <c r="M8" s="121">
        <v>197</v>
      </c>
      <c r="N8" s="121">
        <v>205</v>
      </c>
      <c r="O8" s="121">
        <v>213</v>
      </c>
      <c r="P8" s="121">
        <v>214</v>
      </c>
      <c r="Q8" s="122">
        <f t="shared" si="0"/>
        <v>4.6948356807512415E-3</v>
      </c>
      <c r="R8" s="121">
        <f t="shared" si="1"/>
        <v>1</v>
      </c>
      <c r="S8" s="122">
        <f>P8/P7</f>
        <v>0.65443425076452599</v>
      </c>
    </row>
    <row r="9" spans="2:19" x14ac:dyDescent="0.25">
      <c r="B9" s="123" t="s">
        <v>63</v>
      </c>
      <c r="C9" s="70">
        <v>124</v>
      </c>
      <c r="D9" s="70">
        <v>63</v>
      </c>
      <c r="E9" s="70">
        <v>84</v>
      </c>
      <c r="F9" s="70">
        <v>128</v>
      </c>
      <c r="G9" s="70">
        <v>131</v>
      </c>
      <c r="H9" s="70">
        <v>136</v>
      </c>
      <c r="I9" s="124">
        <f t="shared" si="2"/>
        <v>3.8167938931297662E-2</v>
      </c>
      <c r="J9" s="70">
        <f t="shared" si="3"/>
        <v>5</v>
      </c>
      <c r="K9" s="124">
        <f>H9/H7</f>
        <v>0.42367601246105918</v>
      </c>
      <c r="L9" s="70">
        <v>120</v>
      </c>
      <c r="M9" s="70">
        <v>128</v>
      </c>
      <c r="N9" s="70">
        <v>134</v>
      </c>
      <c r="O9" s="70">
        <v>138</v>
      </c>
      <c r="P9" s="70">
        <v>138</v>
      </c>
      <c r="Q9" s="124">
        <f t="shared" si="0"/>
        <v>0</v>
      </c>
      <c r="R9" s="70">
        <f t="shared" si="1"/>
        <v>0</v>
      </c>
      <c r="S9" s="124">
        <f>P9/P7</f>
        <v>0.42201834862385323</v>
      </c>
    </row>
    <row r="10" spans="2:19" x14ac:dyDescent="0.25">
      <c r="B10" s="123" t="s">
        <v>64</v>
      </c>
      <c r="C10" s="70">
        <v>107</v>
      </c>
      <c r="D10" s="70">
        <v>41</v>
      </c>
      <c r="E10" s="70">
        <v>40</v>
      </c>
      <c r="F10" s="70">
        <v>65</v>
      </c>
      <c r="G10" s="70">
        <v>68</v>
      </c>
      <c r="H10" s="70">
        <v>74</v>
      </c>
      <c r="I10" s="124">
        <f t="shared" si="2"/>
        <v>8.8235294117646967E-2</v>
      </c>
      <c r="J10" s="70">
        <f t="shared" si="3"/>
        <v>6</v>
      </c>
      <c r="K10" s="124">
        <f>H10/H7</f>
        <v>0.23052959501557632</v>
      </c>
      <c r="L10" s="70">
        <v>57</v>
      </c>
      <c r="M10" s="70">
        <v>69</v>
      </c>
      <c r="N10" s="70">
        <v>71</v>
      </c>
      <c r="O10" s="70">
        <v>75</v>
      </c>
      <c r="P10" s="70">
        <v>76</v>
      </c>
      <c r="Q10" s="124">
        <f t="shared" si="0"/>
        <v>1.3333333333333419E-2</v>
      </c>
      <c r="R10" s="70">
        <f t="shared" si="1"/>
        <v>1</v>
      </c>
      <c r="S10" s="124">
        <f>P10/P7</f>
        <v>0.23241590214067279</v>
      </c>
    </row>
    <row r="11" spans="2:19" x14ac:dyDescent="0.25">
      <c r="B11" s="120" t="s">
        <v>65</v>
      </c>
      <c r="C11" s="121">
        <v>158</v>
      </c>
      <c r="D11" s="121">
        <v>70</v>
      </c>
      <c r="E11" s="121">
        <v>71</v>
      </c>
      <c r="F11" s="121">
        <v>100</v>
      </c>
      <c r="G11" s="121">
        <v>109</v>
      </c>
      <c r="H11" s="121">
        <v>111</v>
      </c>
      <c r="I11" s="122">
        <f t="shared" si="2"/>
        <v>1.8348623853210899E-2</v>
      </c>
      <c r="J11" s="121">
        <f t="shared" si="3"/>
        <v>2</v>
      </c>
      <c r="K11" s="122">
        <f>H11/H7</f>
        <v>0.34579439252336447</v>
      </c>
      <c r="L11" s="121">
        <v>89</v>
      </c>
      <c r="M11" s="121">
        <v>102</v>
      </c>
      <c r="N11" s="121">
        <v>108</v>
      </c>
      <c r="O11" s="121">
        <v>111</v>
      </c>
      <c r="P11" s="121">
        <v>113</v>
      </c>
      <c r="Q11" s="122">
        <f t="shared" si="0"/>
        <v>1.8018018018018056E-2</v>
      </c>
      <c r="R11" s="121">
        <f t="shared" si="1"/>
        <v>2</v>
      </c>
      <c r="S11" s="122">
        <f>P11/P7</f>
        <v>0.34556574923547401</v>
      </c>
    </row>
    <row r="12" spans="2:19" x14ac:dyDescent="0.25">
      <c r="B12" s="117" t="s">
        <v>46</v>
      </c>
      <c r="C12" s="125">
        <v>100</v>
      </c>
      <c r="D12" s="125">
        <v>49</v>
      </c>
      <c r="E12" s="125">
        <v>57</v>
      </c>
      <c r="F12" s="125">
        <v>84</v>
      </c>
      <c r="G12" s="125">
        <v>90</v>
      </c>
      <c r="H12" s="125">
        <v>94</v>
      </c>
      <c r="I12" s="126">
        <f t="shared" si="2"/>
        <v>4.4444444444444509E-2</v>
      </c>
      <c r="J12" s="125">
        <f t="shared" si="3"/>
        <v>4</v>
      </c>
      <c r="K12" s="119">
        <f>H12/H12</f>
        <v>1</v>
      </c>
      <c r="L12" s="125">
        <v>76</v>
      </c>
      <c r="M12" s="125">
        <v>84</v>
      </c>
      <c r="N12" s="125">
        <v>91</v>
      </c>
      <c r="O12" s="125">
        <v>95</v>
      </c>
      <c r="P12" s="125">
        <v>94</v>
      </c>
      <c r="Q12" s="126">
        <f t="shared" si="0"/>
        <v>-1.0526315789473717E-2</v>
      </c>
      <c r="R12" s="125">
        <f t="shared" si="1"/>
        <v>-1</v>
      </c>
      <c r="S12" s="119">
        <f>P12/P12</f>
        <v>1</v>
      </c>
    </row>
    <row r="13" spans="2:19" ht="15" customHeight="1" x14ac:dyDescent="0.25">
      <c r="B13" s="120" t="s">
        <v>62</v>
      </c>
      <c r="C13" s="121">
        <v>62</v>
      </c>
      <c r="D13" s="121">
        <v>31</v>
      </c>
      <c r="E13" s="121">
        <v>40</v>
      </c>
      <c r="F13" s="121">
        <v>60</v>
      </c>
      <c r="G13" s="121">
        <v>62</v>
      </c>
      <c r="H13" s="121">
        <v>63</v>
      </c>
      <c r="I13" s="122">
        <f t="shared" si="2"/>
        <v>1.6129032258064502E-2</v>
      </c>
      <c r="J13" s="121">
        <f t="shared" si="3"/>
        <v>1</v>
      </c>
      <c r="K13" s="122">
        <f>H13/H12</f>
        <v>0.67021276595744683</v>
      </c>
      <c r="L13" s="121">
        <v>57</v>
      </c>
      <c r="M13" s="121">
        <v>60</v>
      </c>
      <c r="N13" s="121">
        <v>63</v>
      </c>
      <c r="O13" s="121">
        <v>63</v>
      </c>
      <c r="P13" s="121">
        <v>62</v>
      </c>
      <c r="Q13" s="122">
        <f t="shared" si="0"/>
        <v>-1.5873015873015928E-2</v>
      </c>
      <c r="R13" s="121">
        <f t="shared" si="1"/>
        <v>-1</v>
      </c>
      <c r="S13" s="122">
        <f>P13/P12</f>
        <v>0.65957446808510634</v>
      </c>
    </row>
    <row r="14" spans="2:19" x14ac:dyDescent="0.25">
      <c r="B14" s="123" t="s">
        <v>63</v>
      </c>
      <c r="C14" s="70">
        <v>44</v>
      </c>
      <c r="D14" s="70">
        <v>25</v>
      </c>
      <c r="E14" s="70">
        <v>33</v>
      </c>
      <c r="F14" s="70">
        <v>48</v>
      </c>
      <c r="G14" s="70">
        <v>50</v>
      </c>
      <c r="H14" s="70">
        <v>52</v>
      </c>
      <c r="I14" s="124">
        <f t="shared" si="2"/>
        <v>4.0000000000000036E-2</v>
      </c>
      <c r="J14" s="70">
        <f t="shared" si="3"/>
        <v>2</v>
      </c>
      <c r="K14" s="124">
        <f>H14/H12</f>
        <v>0.55319148936170215</v>
      </c>
      <c r="L14" s="70">
        <v>46</v>
      </c>
      <c r="M14" s="70">
        <v>48</v>
      </c>
      <c r="N14" s="70">
        <v>52</v>
      </c>
      <c r="O14" s="70">
        <v>52</v>
      </c>
      <c r="P14" s="70">
        <v>51</v>
      </c>
      <c r="Q14" s="124">
        <f t="shared" si="0"/>
        <v>-1.9230769230769273E-2</v>
      </c>
      <c r="R14" s="70">
        <f t="shared" si="1"/>
        <v>-1</v>
      </c>
      <c r="S14" s="124">
        <f>P14/P12</f>
        <v>0.54255319148936165</v>
      </c>
    </row>
    <row r="15" spans="2:19" x14ac:dyDescent="0.25">
      <c r="B15" s="123" t="s">
        <v>64</v>
      </c>
      <c r="C15" s="70">
        <v>18</v>
      </c>
      <c r="D15" s="70">
        <v>6</v>
      </c>
      <c r="E15" s="70">
        <v>7</v>
      </c>
      <c r="F15" s="70">
        <v>12</v>
      </c>
      <c r="G15" s="70">
        <v>11</v>
      </c>
      <c r="H15" s="70">
        <v>11</v>
      </c>
      <c r="I15" s="124">
        <f t="shared" si="2"/>
        <v>0</v>
      </c>
      <c r="J15" s="70">
        <f t="shared" si="3"/>
        <v>0</v>
      </c>
      <c r="K15" s="124">
        <f>H15/H12</f>
        <v>0.11702127659574468</v>
      </c>
      <c r="L15" s="70">
        <v>11</v>
      </c>
      <c r="M15" s="70">
        <v>12</v>
      </c>
      <c r="N15" s="70">
        <v>11</v>
      </c>
      <c r="O15" s="70">
        <v>11</v>
      </c>
      <c r="P15" s="70">
        <v>11</v>
      </c>
      <c r="Q15" s="124">
        <f t="shared" si="0"/>
        <v>0</v>
      </c>
      <c r="R15" s="70">
        <f t="shared" si="1"/>
        <v>0</v>
      </c>
      <c r="S15" s="124">
        <f>P15/P12</f>
        <v>0.11702127659574468</v>
      </c>
    </row>
    <row r="16" spans="2:19" x14ac:dyDescent="0.25">
      <c r="B16" s="120" t="s">
        <v>65</v>
      </c>
      <c r="C16" s="121">
        <v>38</v>
      </c>
      <c r="D16" s="121">
        <v>18</v>
      </c>
      <c r="E16" s="121">
        <v>17</v>
      </c>
      <c r="F16" s="121">
        <v>24</v>
      </c>
      <c r="G16" s="121">
        <v>29</v>
      </c>
      <c r="H16" s="121">
        <v>31</v>
      </c>
      <c r="I16" s="122">
        <f t="shared" si="2"/>
        <v>6.8965517241379226E-2</v>
      </c>
      <c r="J16" s="121">
        <f t="shared" si="3"/>
        <v>2</v>
      </c>
      <c r="K16" s="122">
        <f>H16/H12</f>
        <v>0.32978723404255317</v>
      </c>
      <c r="L16" s="121">
        <v>19</v>
      </c>
      <c r="M16" s="121">
        <v>24</v>
      </c>
      <c r="N16" s="121">
        <v>28</v>
      </c>
      <c r="O16" s="121">
        <v>32</v>
      </c>
      <c r="P16" s="121">
        <v>32</v>
      </c>
      <c r="Q16" s="122">
        <f t="shared" si="0"/>
        <v>0</v>
      </c>
      <c r="R16" s="121">
        <f t="shared" si="1"/>
        <v>0</v>
      </c>
      <c r="S16" s="122">
        <f>P16/P12</f>
        <v>0.34042553191489361</v>
      </c>
    </row>
    <row r="17" spans="2:19" x14ac:dyDescent="0.25">
      <c r="B17" s="117" t="s">
        <v>51</v>
      </c>
      <c r="C17" s="125">
        <v>9</v>
      </c>
      <c r="D17" s="125">
        <v>4</v>
      </c>
      <c r="E17" s="125">
        <v>3</v>
      </c>
      <c r="F17" s="125">
        <v>5</v>
      </c>
      <c r="G17" s="125">
        <v>5</v>
      </c>
      <c r="H17" s="125">
        <v>6</v>
      </c>
      <c r="I17" s="126">
        <f t="shared" si="2"/>
        <v>0.19999999999999996</v>
      </c>
      <c r="J17" s="125">
        <f t="shared" si="3"/>
        <v>1</v>
      </c>
      <c r="K17" s="119">
        <f>H17/H17</f>
        <v>1</v>
      </c>
      <c r="L17" s="125">
        <v>4</v>
      </c>
      <c r="M17" s="125">
        <v>5</v>
      </c>
      <c r="N17" s="125">
        <v>6</v>
      </c>
      <c r="O17" s="125">
        <v>6</v>
      </c>
      <c r="P17" s="125">
        <v>6</v>
      </c>
      <c r="Q17" s="126">
        <f t="shared" si="0"/>
        <v>0</v>
      </c>
      <c r="R17" s="125">
        <f t="shared" si="1"/>
        <v>0</v>
      </c>
      <c r="S17" s="119">
        <f>P17/P17</f>
        <v>1</v>
      </c>
    </row>
    <row r="18" spans="2:19" x14ac:dyDescent="0.25">
      <c r="B18" s="120" t="s">
        <v>62</v>
      </c>
      <c r="C18" s="121">
        <v>9</v>
      </c>
      <c r="D18" s="121">
        <v>4</v>
      </c>
      <c r="E18" s="121">
        <v>3</v>
      </c>
      <c r="F18" s="121">
        <v>5</v>
      </c>
      <c r="G18" s="121">
        <v>5</v>
      </c>
      <c r="H18" s="121">
        <v>6</v>
      </c>
      <c r="I18" s="122">
        <f t="shared" si="2"/>
        <v>0.19999999999999996</v>
      </c>
      <c r="J18" s="121">
        <f t="shared" si="3"/>
        <v>1</v>
      </c>
      <c r="K18" s="122">
        <f>H18/H17</f>
        <v>1</v>
      </c>
      <c r="L18" s="121">
        <v>4</v>
      </c>
      <c r="M18" s="121">
        <v>5</v>
      </c>
      <c r="N18" s="121">
        <v>6</v>
      </c>
      <c r="O18" s="121">
        <v>6</v>
      </c>
      <c r="P18" s="121">
        <v>6</v>
      </c>
      <c r="Q18" s="122">
        <f t="shared" si="0"/>
        <v>0</v>
      </c>
      <c r="R18" s="121">
        <f t="shared" si="1"/>
        <v>0</v>
      </c>
      <c r="S18" s="122">
        <f>P18/P17</f>
        <v>1</v>
      </c>
    </row>
    <row r="19" spans="2:19" x14ac:dyDescent="0.25">
      <c r="B19" s="123" t="s">
        <v>63</v>
      </c>
      <c r="C19" s="70">
        <v>4</v>
      </c>
      <c r="D19" s="70">
        <v>0</v>
      </c>
      <c r="E19" s="70">
        <v>0</v>
      </c>
      <c r="F19" s="70">
        <v>3</v>
      </c>
      <c r="G19" s="70">
        <v>3</v>
      </c>
      <c r="H19" s="70">
        <v>3</v>
      </c>
      <c r="I19" s="124">
        <f t="shared" si="2"/>
        <v>0</v>
      </c>
      <c r="J19" s="70">
        <f t="shared" si="3"/>
        <v>0</v>
      </c>
      <c r="K19" s="124">
        <f>H19/H17</f>
        <v>0.5</v>
      </c>
      <c r="L19" s="70">
        <v>0</v>
      </c>
      <c r="M19" s="70">
        <v>3</v>
      </c>
      <c r="N19" s="70">
        <v>3</v>
      </c>
      <c r="O19" s="70">
        <v>3</v>
      </c>
      <c r="P19" s="70">
        <v>3</v>
      </c>
      <c r="Q19" s="124">
        <f t="shared" si="0"/>
        <v>0</v>
      </c>
      <c r="R19" s="70">
        <f t="shared" si="1"/>
        <v>0</v>
      </c>
      <c r="S19" s="124">
        <f>P19/P17</f>
        <v>0.5</v>
      </c>
    </row>
    <row r="20" spans="2:19" x14ac:dyDescent="0.25">
      <c r="B20" s="123" t="s">
        <v>64</v>
      </c>
      <c r="C20" s="70">
        <v>5</v>
      </c>
      <c r="D20" s="70">
        <v>0</v>
      </c>
      <c r="E20" s="70">
        <v>0</v>
      </c>
      <c r="F20" s="70">
        <v>2</v>
      </c>
      <c r="G20" s="70">
        <v>2</v>
      </c>
      <c r="H20" s="70">
        <v>3</v>
      </c>
      <c r="I20" s="124">
        <f t="shared" si="2"/>
        <v>0.5</v>
      </c>
      <c r="J20" s="70">
        <f t="shared" si="3"/>
        <v>1</v>
      </c>
      <c r="K20" s="124">
        <f>H20/H17</f>
        <v>0.5</v>
      </c>
      <c r="L20" s="70">
        <v>0</v>
      </c>
      <c r="M20" s="70">
        <v>2</v>
      </c>
      <c r="N20" s="70">
        <v>3</v>
      </c>
      <c r="O20" s="70">
        <v>3</v>
      </c>
      <c r="P20" s="70">
        <v>3</v>
      </c>
      <c r="Q20" s="124">
        <f t="shared" si="0"/>
        <v>0</v>
      </c>
      <c r="R20" s="70">
        <f t="shared" si="1"/>
        <v>0</v>
      </c>
      <c r="S20" s="124">
        <f>P20/P17</f>
        <v>0.5</v>
      </c>
    </row>
    <row r="21" spans="2:19" x14ac:dyDescent="0.25">
      <c r="B21" s="120" t="s">
        <v>65</v>
      </c>
      <c r="C21" s="121">
        <v>0</v>
      </c>
      <c r="D21" s="121">
        <v>0</v>
      </c>
      <c r="E21" s="121">
        <v>0</v>
      </c>
      <c r="F21" s="121">
        <v>0</v>
      </c>
      <c r="G21" s="121">
        <v>0</v>
      </c>
      <c r="H21" s="121">
        <v>0</v>
      </c>
      <c r="I21" s="122" t="str">
        <f t="shared" si="2"/>
        <v>-</v>
      </c>
      <c r="J21" s="121">
        <f t="shared" si="3"/>
        <v>0</v>
      </c>
      <c r="K21" s="122">
        <f>H21/H17</f>
        <v>0</v>
      </c>
      <c r="L21" s="121" t="s">
        <v>233</v>
      </c>
      <c r="M21" s="121" t="s">
        <v>233</v>
      </c>
      <c r="N21" s="121" t="s">
        <v>233</v>
      </c>
      <c r="O21" s="121" t="s">
        <v>233</v>
      </c>
      <c r="P21" s="121" t="s">
        <v>233</v>
      </c>
      <c r="Q21" s="122" t="str">
        <f t="shared" si="0"/>
        <v>-</v>
      </c>
      <c r="R21" s="121" t="str">
        <f t="shared" si="1"/>
        <v>-</v>
      </c>
      <c r="S21" s="122" t="e">
        <f>P21/P17</f>
        <v>#VALUE!</v>
      </c>
    </row>
    <row r="22" spans="2:19" x14ac:dyDescent="0.25">
      <c r="B22" s="117" t="s">
        <v>48</v>
      </c>
      <c r="C22" s="125">
        <v>13</v>
      </c>
      <c r="D22" s="125">
        <v>4</v>
      </c>
      <c r="E22" s="125">
        <v>4</v>
      </c>
      <c r="F22" s="125">
        <v>5</v>
      </c>
      <c r="G22" s="125">
        <v>7</v>
      </c>
      <c r="H22" s="125">
        <v>7</v>
      </c>
      <c r="I22" s="126">
        <f t="shared" si="2"/>
        <v>0</v>
      </c>
      <c r="J22" s="125">
        <f t="shared" si="3"/>
        <v>0</v>
      </c>
      <c r="K22" s="126">
        <f>H22/H22</f>
        <v>1</v>
      </c>
      <c r="L22" s="125">
        <v>4</v>
      </c>
      <c r="M22" s="125">
        <v>6</v>
      </c>
      <c r="N22" s="125">
        <v>7</v>
      </c>
      <c r="O22" s="125">
        <v>7</v>
      </c>
      <c r="P22" s="125">
        <v>8</v>
      </c>
      <c r="Q22" s="126">
        <f t="shared" si="0"/>
        <v>0.14285714285714279</v>
      </c>
      <c r="R22" s="125">
        <f t="shared" si="1"/>
        <v>1</v>
      </c>
      <c r="S22" s="126">
        <f>P22/P22</f>
        <v>1</v>
      </c>
    </row>
    <row r="23" spans="2:19" x14ac:dyDescent="0.25">
      <c r="B23" s="120" t="s">
        <v>62</v>
      </c>
      <c r="C23" s="121">
        <v>7</v>
      </c>
      <c r="D23" s="121">
        <v>3</v>
      </c>
      <c r="E23" s="121">
        <v>4</v>
      </c>
      <c r="F23" s="121">
        <v>5</v>
      </c>
      <c r="G23" s="121">
        <v>6</v>
      </c>
      <c r="H23" s="121">
        <v>6</v>
      </c>
      <c r="I23" s="122">
        <f t="shared" si="2"/>
        <v>0</v>
      </c>
      <c r="J23" s="121">
        <f t="shared" si="3"/>
        <v>0</v>
      </c>
      <c r="K23" s="122">
        <f>H23/H22</f>
        <v>0.8571428571428571</v>
      </c>
      <c r="L23" s="121">
        <v>4</v>
      </c>
      <c r="M23" s="121">
        <v>6</v>
      </c>
      <c r="N23" s="121">
        <v>6</v>
      </c>
      <c r="O23" s="121">
        <v>6</v>
      </c>
      <c r="P23" s="121">
        <v>6</v>
      </c>
      <c r="Q23" s="122">
        <f t="shared" si="0"/>
        <v>0</v>
      </c>
      <c r="R23" s="121">
        <f t="shared" si="1"/>
        <v>0</v>
      </c>
      <c r="S23" s="122">
        <f>P23/P22</f>
        <v>0.75</v>
      </c>
    </row>
    <row r="24" spans="2:19" x14ac:dyDescent="0.25">
      <c r="B24" s="120" t="s">
        <v>65</v>
      </c>
      <c r="C24" s="121">
        <v>6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2" t="str">
        <f t="shared" si="2"/>
        <v>-</v>
      </c>
      <c r="J24" s="121">
        <f t="shared" si="3"/>
        <v>0</v>
      </c>
      <c r="K24" s="122">
        <f>H24/H22</f>
        <v>0</v>
      </c>
      <c r="L24" s="121">
        <v>0</v>
      </c>
      <c r="M24" s="121">
        <v>0</v>
      </c>
      <c r="N24" s="121">
        <v>0</v>
      </c>
      <c r="O24" s="121">
        <v>0</v>
      </c>
      <c r="P24" s="121">
        <v>0</v>
      </c>
      <c r="Q24" s="122" t="str">
        <f t="shared" si="0"/>
        <v>-</v>
      </c>
      <c r="R24" s="121">
        <f t="shared" si="1"/>
        <v>0</v>
      </c>
      <c r="S24" s="122">
        <f>P24/P22</f>
        <v>0</v>
      </c>
    </row>
    <row r="25" spans="2:19" x14ac:dyDescent="0.25">
      <c r="B25" s="117" t="s">
        <v>49</v>
      </c>
      <c r="C25" s="125">
        <v>6</v>
      </c>
      <c r="D25" s="125">
        <v>3</v>
      </c>
      <c r="E25" s="125">
        <v>4</v>
      </c>
      <c r="F25" s="125">
        <v>5</v>
      </c>
      <c r="G25" s="125">
        <v>4</v>
      </c>
      <c r="H25" s="125">
        <v>5</v>
      </c>
      <c r="I25" s="126">
        <f t="shared" si="2"/>
        <v>0.25</v>
      </c>
      <c r="J25" s="125">
        <f t="shared" si="3"/>
        <v>1</v>
      </c>
      <c r="K25" s="119">
        <f>H25/H25</f>
        <v>1</v>
      </c>
      <c r="L25" s="125">
        <v>4</v>
      </c>
      <c r="M25" s="125">
        <v>5</v>
      </c>
      <c r="N25" s="125">
        <v>4</v>
      </c>
      <c r="O25" s="125">
        <v>6</v>
      </c>
      <c r="P25" s="125">
        <v>6</v>
      </c>
      <c r="Q25" s="126">
        <f t="shared" si="0"/>
        <v>0</v>
      </c>
      <c r="R25" s="125">
        <f t="shared" si="1"/>
        <v>0</v>
      </c>
      <c r="S25" s="119">
        <f>P25/P25</f>
        <v>1</v>
      </c>
    </row>
    <row r="26" spans="2:19" x14ac:dyDescent="0.25">
      <c r="B26" s="120" t="s">
        <v>62</v>
      </c>
      <c r="C26" s="121">
        <v>5</v>
      </c>
      <c r="D26" s="121">
        <v>2</v>
      </c>
      <c r="E26" s="121">
        <v>3</v>
      </c>
      <c r="F26" s="121">
        <v>4</v>
      </c>
      <c r="G26" s="121">
        <v>3</v>
      </c>
      <c r="H26" s="121">
        <v>4</v>
      </c>
      <c r="I26" s="122">
        <f t="shared" si="2"/>
        <v>0.33333333333333326</v>
      </c>
      <c r="J26" s="121">
        <f t="shared" si="3"/>
        <v>1</v>
      </c>
      <c r="K26" s="122">
        <f>H26/H25</f>
        <v>0.8</v>
      </c>
      <c r="L26" s="121">
        <v>3</v>
      </c>
      <c r="M26" s="121">
        <v>4</v>
      </c>
      <c r="N26" s="121">
        <v>3</v>
      </c>
      <c r="O26" s="121">
        <v>5</v>
      </c>
      <c r="P26" s="121">
        <v>5</v>
      </c>
      <c r="Q26" s="122">
        <f t="shared" si="0"/>
        <v>0</v>
      </c>
      <c r="R26" s="121">
        <f t="shared" si="1"/>
        <v>0</v>
      </c>
      <c r="S26" s="122">
        <f>P26/P25</f>
        <v>0.83333333333333337</v>
      </c>
    </row>
    <row r="27" spans="2:19" x14ac:dyDescent="0.25">
      <c r="B27" s="123" t="s">
        <v>63</v>
      </c>
      <c r="C27" s="70">
        <v>3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  <c r="I27" s="124" t="str">
        <f t="shared" si="2"/>
        <v>-</v>
      </c>
      <c r="J27" s="70">
        <f t="shared" si="3"/>
        <v>0</v>
      </c>
      <c r="K27" s="124">
        <f>H27/H25</f>
        <v>0</v>
      </c>
      <c r="L27" s="70">
        <v>3</v>
      </c>
      <c r="M27" s="70">
        <v>0</v>
      </c>
      <c r="N27" s="70">
        <v>3</v>
      </c>
      <c r="O27" s="70">
        <v>0</v>
      </c>
      <c r="P27" s="70">
        <v>0</v>
      </c>
      <c r="Q27" s="124" t="str">
        <f t="shared" si="0"/>
        <v>-</v>
      </c>
      <c r="R27" s="70">
        <f t="shared" si="1"/>
        <v>0</v>
      </c>
      <c r="S27" s="124">
        <f>P27/P25</f>
        <v>0</v>
      </c>
    </row>
    <row r="28" spans="2:19" x14ac:dyDescent="0.25">
      <c r="B28" s="123" t="s">
        <v>64</v>
      </c>
      <c r="C28" s="70">
        <v>2</v>
      </c>
      <c r="D28" s="70">
        <v>0</v>
      </c>
      <c r="E28" s="70">
        <v>0</v>
      </c>
      <c r="F28" s="70">
        <v>0</v>
      </c>
      <c r="G28" s="70">
        <v>0</v>
      </c>
      <c r="H28" s="70">
        <v>0</v>
      </c>
      <c r="I28" s="124" t="str">
        <f t="shared" si="2"/>
        <v>-</v>
      </c>
      <c r="J28" s="70">
        <f t="shared" si="3"/>
        <v>0</v>
      </c>
      <c r="K28" s="124">
        <f>H28/H25</f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124" t="str">
        <f t="shared" si="0"/>
        <v>-</v>
      </c>
      <c r="R28" s="70">
        <f t="shared" si="1"/>
        <v>0</v>
      </c>
      <c r="S28" s="124">
        <f>P28/P25</f>
        <v>0</v>
      </c>
    </row>
    <row r="29" spans="2:19" x14ac:dyDescent="0.25">
      <c r="B29" s="117" t="s">
        <v>50</v>
      </c>
      <c r="C29" s="125">
        <v>78</v>
      </c>
      <c r="D29" s="125">
        <v>33</v>
      </c>
      <c r="E29" s="125">
        <v>37</v>
      </c>
      <c r="F29" s="125">
        <v>59</v>
      </c>
      <c r="G29" s="125">
        <v>62</v>
      </c>
      <c r="H29" s="125">
        <v>64</v>
      </c>
      <c r="I29" s="126">
        <f t="shared" si="2"/>
        <v>3.2258064516129004E-2</v>
      </c>
      <c r="J29" s="125">
        <f t="shared" si="3"/>
        <v>2</v>
      </c>
      <c r="K29" s="119">
        <f>H29/H29</f>
        <v>1</v>
      </c>
      <c r="L29" s="125">
        <v>52</v>
      </c>
      <c r="M29" s="125">
        <v>59</v>
      </c>
      <c r="N29" s="125">
        <v>62</v>
      </c>
      <c r="O29" s="125">
        <v>64</v>
      </c>
      <c r="P29" s="125">
        <v>66</v>
      </c>
      <c r="Q29" s="126">
        <f t="shared" si="0"/>
        <v>3.125E-2</v>
      </c>
      <c r="R29" s="125">
        <f t="shared" si="1"/>
        <v>2</v>
      </c>
      <c r="S29" s="119">
        <f>P29/P29</f>
        <v>1</v>
      </c>
    </row>
    <row r="30" spans="2:19" x14ac:dyDescent="0.25">
      <c r="B30" s="120" t="s">
        <v>62</v>
      </c>
      <c r="C30" s="121">
        <v>54</v>
      </c>
      <c r="D30" s="121">
        <v>21</v>
      </c>
      <c r="E30" s="121">
        <v>25</v>
      </c>
      <c r="F30" s="121">
        <v>41</v>
      </c>
      <c r="G30" s="121">
        <v>43</v>
      </c>
      <c r="H30" s="121">
        <v>45</v>
      </c>
      <c r="I30" s="122">
        <f t="shared" si="2"/>
        <v>4.6511627906976827E-2</v>
      </c>
      <c r="J30" s="121">
        <f t="shared" si="3"/>
        <v>2</v>
      </c>
      <c r="K30" s="122">
        <f>H30/H29</f>
        <v>0.703125</v>
      </c>
      <c r="L30" s="121">
        <v>37</v>
      </c>
      <c r="M30" s="121">
        <v>40</v>
      </c>
      <c r="N30" s="121">
        <v>43</v>
      </c>
      <c r="O30" s="121">
        <v>45</v>
      </c>
      <c r="P30" s="121">
        <v>47</v>
      </c>
      <c r="Q30" s="122">
        <f t="shared" si="0"/>
        <v>4.4444444444444509E-2</v>
      </c>
      <c r="R30" s="121">
        <f t="shared" si="1"/>
        <v>2</v>
      </c>
      <c r="S30" s="122">
        <f>P30/P29</f>
        <v>0.71212121212121215</v>
      </c>
    </row>
    <row r="31" spans="2:19" x14ac:dyDescent="0.25">
      <c r="B31" s="123" t="s">
        <v>63</v>
      </c>
      <c r="C31" s="70">
        <v>27</v>
      </c>
      <c r="D31" s="70">
        <v>11</v>
      </c>
      <c r="E31" s="70">
        <v>14</v>
      </c>
      <c r="F31" s="70">
        <v>25</v>
      </c>
      <c r="G31" s="70">
        <v>26</v>
      </c>
      <c r="H31" s="70">
        <v>28</v>
      </c>
      <c r="I31" s="124">
        <f t="shared" si="2"/>
        <v>7.6923076923076872E-2</v>
      </c>
      <c r="J31" s="70">
        <f t="shared" si="3"/>
        <v>2</v>
      </c>
      <c r="K31" s="124">
        <f>H31/H29</f>
        <v>0.4375</v>
      </c>
      <c r="L31" s="70">
        <v>21</v>
      </c>
      <c r="M31" s="70">
        <v>24</v>
      </c>
      <c r="N31" s="70">
        <v>26</v>
      </c>
      <c r="O31" s="70">
        <v>28</v>
      </c>
      <c r="P31" s="70">
        <v>29</v>
      </c>
      <c r="Q31" s="124">
        <f t="shared" si="0"/>
        <v>3.5714285714285809E-2</v>
      </c>
      <c r="R31" s="70">
        <f t="shared" si="1"/>
        <v>1</v>
      </c>
      <c r="S31" s="124">
        <f>P31/P29</f>
        <v>0.43939393939393939</v>
      </c>
    </row>
    <row r="32" spans="2:19" x14ac:dyDescent="0.25">
      <c r="B32" s="123" t="s">
        <v>64</v>
      </c>
      <c r="C32" s="70">
        <v>28</v>
      </c>
      <c r="D32" s="70">
        <v>10</v>
      </c>
      <c r="E32" s="70">
        <v>11</v>
      </c>
      <c r="F32" s="70">
        <v>16</v>
      </c>
      <c r="G32" s="70">
        <v>17</v>
      </c>
      <c r="H32" s="70">
        <v>17</v>
      </c>
      <c r="I32" s="124">
        <f t="shared" si="2"/>
        <v>0</v>
      </c>
      <c r="J32" s="70">
        <f t="shared" si="3"/>
        <v>0</v>
      </c>
      <c r="K32" s="124">
        <f>H32/H29</f>
        <v>0.265625</v>
      </c>
      <c r="L32" s="70">
        <v>16</v>
      </c>
      <c r="M32" s="70">
        <v>16</v>
      </c>
      <c r="N32" s="70">
        <v>17</v>
      </c>
      <c r="O32" s="70">
        <v>17</v>
      </c>
      <c r="P32" s="70">
        <v>18</v>
      </c>
      <c r="Q32" s="124">
        <f t="shared" si="0"/>
        <v>5.8823529411764719E-2</v>
      </c>
      <c r="R32" s="70">
        <f t="shared" si="1"/>
        <v>1</v>
      </c>
      <c r="S32" s="124">
        <f>P32/P29</f>
        <v>0.27272727272727271</v>
      </c>
    </row>
    <row r="33" spans="2:19" x14ac:dyDescent="0.25">
      <c r="B33" s="120" t="s">
        <v>65</v>
      </c>
      <c r="C33" s="121">
        <v>24</v>
      </c>
      <c r="D33" s="121">
        <v>12</v>
      </c>
      <c r="E33" s="121">
        <v>12</v>
      </c>
      <c r="F33" s="121">
        <v>18</v>
      </c>
      <c r="G33" s="121">
        <v>19</v>
      </c>
      <c r="H33" s="121">
        <v>19</v>
      </c>
      <c r="I33" s="122">
        <f t="shared" si="2"/>
        <v>0</v>
      </c>
      <c r="J33" s="121">
        <f t="shared" si="3"/>
        <v>0</v>
      </c>
      <c r="K33" s="122">
        <f>H33/H29</f>
        <v>0.296875</v>
      </c>
      <c r="L33" s="121">
        <v>15</v>
      </c>
      <c r="M33" s="121">
        <v>19</v>
      </c>
      <c r="N33" s="121">
        <v>19</v>
      </c>
      <c r="O33" s="121">
        <v>19</v>
      </c>
      <c r="P33" s="121">
        <v>19</v>
      </c>
      <c r="Q33" s="122">
        <f t="shared" si="0"/>
        <v>0</v>
      </c>
      <c r="R33" s="121">
        <f t="shared" si="1"/>
        <v>0</v>
      </c>
      <c r="S33" s="122">
        <f>P33/P29</f>
        <v>0.2878787878787879</v>
      </c>
    </row>
    <row r="34" spans="2:19" x14ac:dyDescent="0.25">
      <c r="B34" s="117" t="s">
        <v>51</v>
      </c>
      <c r="C34" s="125">
        <v>9</v>
      </c>
      <c r="D34" s="125">
        <v>4</v>
      </c>
      <c r="E34" s="125">
        <v>3</v>
      </c>
      <c r="F34" s="125">
        <v>5</v>
      </c>
      <c r="G34" s="125">
        <v>5</v>
      </c>
      <c r="H34" s="125">
        <v>6</v>
      </c>
      <c r="I34" s="126">
        <f t="shared" si="2"/>
        <v>0.19999999999999996</v>
      </c>
      <c r="J34" s="125">
        <f t="shared" si="3"/>
        <v>1</v>
      </c>
      <c r="K34" s="119">
        <f>H34/H34</f>
        <v>1</v>
      </c>
      <c r="L34" s="125">
        <v>4</v>
      </c>
      <c r="M34" s="125">
        <v>5</v>
      </c>
      <c r="N34" s="125">
        <v>6</v>
      </c>
      <c r="O34" s="125">
        <v>6</v>
      </c>
      <c r="P34" s="125">
        <v>6</v>
      </c>
      <c r="Q34" s="126">
        <f t="shared" si="0"/>
        <v>0</v>
      </c>
      <c r="R34" s="125">
        <f t="shared" si="1"/>
        <v>0</v>
      </c>
      <c r="S34" s="119">
        <f>P34/P34</f>
        <v>1</v>
      </c>
    </row>
    <row r="35" spans="2:19" x14ac:dyDescent="0.25">
      <c r="B35" s="120" t="s">
        <v>62</v>
      </c>
      <c r="C35" s="121">
        <v>9</v>
      </c>
      <c r="D35" s="121">
        <v>4</v>
      </c>
      <c r="E35" s="121">
        <v>3</v>
      </c>
      <c r="F35" s="121">
        <v>5</v>
      </c>
      <c r="G35" s="121">
        <v>5</v>
      </c>
      <c r="H35" s="121">
        <v>6</v>
      </c>
      <c r="I35" s="122">
        <f t="shared" si="2"/>
        <v>0.19999999999999996</v>
      </c>
      <c r="J35" s="121">
        <f t="shared" si="3"/>
        <v>1</v>
      </c>
      <c r="K35" s="122">
        <f>H35/H34</f>
        <v>1</v>
      </c>
      <c r="L35" s="121">
        <v>4</v>
      </c>
      <c r="M35" s="121">
        <v>5</v>
      </c>
      <c r="N35" s="121">
        <v>6</v>
      </c>
      <c r="O35" s="121">
        <v>6</v>
      </c>
      <c r="P35" s="121">
        <v>6</v>
      </c>
      <c r="Q35" s="122">
        <f t="shared" si="0"/>
        <v>0</v>
      </c>
      <c r="R35" s="121">
        <f t="shared" si="1"/>
        <v>0</v>
      </c>
      <c r="S35" s="122">
        <f>P35/P34</f>
        <v>1</v>
      </c>
    </row>
    <row r="36" spans="2:19" x14ac:dyDescent="0.25">
      <c r="B36" s="117" t="s">
        <v>52</v>
      </c>
      <c r="C36" s="125">
        <v>15</v>
      </c>
      <c r="D36" s="125">
        <v>6</v>
      </c>
      <c r="E36" s="125">
        <v>7</v>
      </c>
      <c r="F36" s="125">
        <v>11</v>
      </c>
      <c r="G36" s="125">
        <v>12</v>
      </c>
      <c r="H36" s="125">
        <v>12</v>
      </c>
      <c r="I36" s="126">
        <f t="shared" si="2"/>
        <v>0</v>
      </c>
      <c r="J36" s="125">
        <f t="shared" si="3"/>
        <v>0</v>
      </c>
      <c r="K36" s="126">
        <f>H36/H36</f>
        <v>1</v>
      </c>
      <c r="L36" s="125">
        <v>10</v>
      </c>
      <c r="M36" s="125">
        <v>12</v>
      </c>
      <c r="N36" s="125">
        <v>11</v>
      </c>
      <c r="O36" s="125">
        <v>12</v>
      </c>
      <c r="P36" s="125">
        <v>13</v>
      </c>
      <c r="Q36" s="126">
        <f t="shared" si="0"/>
        <v>8.3333333333333259E-2</v>
      </c>
      <c r="R36" s="125">
        <f t="shared" si="1"/>
        <v>1</v>
      </c>
      <c r="S36" s="126">
        <f>P36/P36</f>
        <v>1</v>
      </c>
    </row>
    <row r="37" spans="2:19" x14ac:dyDescent="0.25">
      <c r="B37" s="120" t="s">
        <v>62</v>
      </c>
      <c r="C37" s="121">
        <v>5</v>
      </c>
      <c r="D37" s="121">
        <v>2</v>
      </c>
      <c r="E37" s="121">
        <v>3</v>
      </c>
      <c r="F37" s="121">
        <v>6</v>
      </c>
      <c r="G37" s="121">
        <v>6</v>
      </c>
      <c r="H37" s="121">
        <v>6</v>
      </c>
      <c r="I37" s="122">
        <f t="shared" si="2"/>
        <v>0</v>
      </c>
      <c r="J37" s="121">
        <f t="shared" si="3"/>
        <v>0</v>
      </c>
      <c r="K37" s="122">
        <f>H37/H36</f>
        <v>0.5</v>
      </c>
      <c r="L37" s="121">
        <v>5</v>
      </c>
      <c r="M37" s="121">
        <v>6</v>
      </c>
      <c r="N37" s="121">
        <v>6</v>
      </c>
      <c r="O37" s="121">
        <v>6</v>
      </c>
      <c r="P37" s="121">
        <v>7</v>
      </c>
      <c r="Q37" s="122">
        <f t="shared" si="0"/>
        <v>0.16666666666666674</v>
      </c>
      <c r="R37" s="121">
        <f t="shared" si="1"/>
        <v>1</v>
      </c>
      <c r="S37" s="122">
        <f>P37/P36</f>
        <v>0.53846153846153844</v>
      </c>
    </row>
    <row r="38" spans="2:19" x14ac:dyDescent="0.25">
      <c r="B38" s="120" t="s">
        <v>65</v>
      </c>
      <c r="C38" s="121">
        <v>10</v>
      </c>
      <c r="D38" s="121">
        <v>3</v>
      </c>
      <c r="E38" s="121">
        <v>3</v>
      </c>
      <c r="F38" s="121">
        <v>5</v>
      </c>
      <c r="G38" s="121">
        <v>6</v>
      </c>
      <c r="H38" s="121">
        <v>6</v>
      </c>
      <c r="I38" s="122">
        <f t="shared" si="2"/>
        <v>0</v>
      </c>
      <c r="J38" s="121">
        <f t="shared" si="3"/>
        <v>0</v>
      </c>
      <c r="K38" s="122">
        <f>H38/H36</f>
        <v>0.5</v>
      </c>
      <c r="L38" s="121">
        <v>5</v>
      </c>
      <c r="M38" s="121">
        <v>6</v>
      </c>
      <c r="N38" s="121">
        <v>5</v>
      </c>
      <c r="O38" s="121">
        <v>6</v>
      </c>
      <c r="P38" s="121">
        <v>6</v>
      </c>
      <c r="Q38" s="122">
        <f t="shared" si="0"/>
        <v>0</v>
      </c>
      <c r="R38" s="121">
        <f t="shared" si="1"/>
        <v>0</v>
      </c>
      <c r="S38" s="122">
        <f>P38/P36</f>
        <v>0.46153846153846156</v>
      </c>
    </row>
    <row r="39" spans="2:19" x14ac:dyDescent="0.25">
      <c r="B39" s="117" t="s">
        <v>53</v>
      </c>
      <c r="C39" s="125">
        <v>23</v>
      </c>
      <c r="D39" s="125">
        <v>11</v>
      </c>
      <c r="E39" s="125">
        <v>12</v>
      </c>
      <c r="F39" s="125">
        <v>17</v>
      </c>
      <c r="G39" s="125">
        <v>19</v>
      </c>
      <c r="H39" s="125">
        <v>20</v>
      </c>
      <c r="I39" s="126">
        <f t="shared" si="2"/>
        <v>5.2631578947368363E-2</v>
      </c>
      <c r="J39" s="125">
        <f t="shared" si="3"/>
        <v>1</v>
      </c>
      <c r="K39" s="119">
        <f>H39/H39</f>
        <v>1</v>
      </c>
      <c r="L39" s="125">
        <v>14</v>
      </c>
      <c r="M39" s="125">
        <v>19</v>
      </c>
      <c r="N39" s="125">
        <v>20</v>
      </c>
      <c r="O39" s="125">
        <v>20</v>
      </c>
      <c r="P39" s="125">
        <v>20</v>
      </c>
      <c r="Q39" s="126">
        <f t="shared" si="0"/>
        <v>0</v>
      </c>
      <c r="R39" s="125">
        <f t="shared" si="1"/>
        <v>0</v>
      </c>
      <c r="S39" s="119">
        <f>P39/P39</f>
        <v>1</v>
      </c>
    </row>
    <row r="40" spans="2:19" x14ac:dyDescent="0.25">
      <c r="B40" s="120" t="s">
        <v>62</v>
      </c>
      <c r="C40" s="121">
        <v>23</v>
      </c>
      <c r="D40" s="121">
        <v>11</v>
      </c>
      <c r="E40" s="121">
        <v>12</v>
      </c>
      <c r="F40" s="121">
        <v>17</v>
      </c>
      <c r="G40" s="121">
        <v>19</v>
      </c>
      <c r="H40" s="121">
        <v>20</v>
      </c>
      <c r="I40" s="122">
        <f t="shared" si="2"/>
        <v>5.2631578947368363E-2</v>
      </c>
      <c r="J40" s="121">
        <f t="shared" si="3"/>
        <v>1</v>
      </c>
      <c r="K40" s="122">
        <f>H40/H39</f>
        <v>1</v>
      </c>
      <c r="L40" s="121">
        <v>14</v>
      </c>
      <c r="M40" s="121">
        <v>19</v>
      </c>
      <c r="N40" s="121">
        <v>20</v>
      </c>
      <c r="O40" s="121">
        <v>20</v>
      </c>
      <c r="P40" s="121">
        <v>20</v>
      </c>
      <c r="Q40" s="122">
        <f t="shared" si="0"/>
        <v>0</v>
      </c>
      <c r="R40" s="121">
        <f t="shared" si="1"/>
        <v>0</v>
      </c>
      <c r="S40" s="122">
        <f>P40/P39</f>
        <v>1</v>
      </c>
    </row>
    <row r="41" spans="2:19" x14ac:dyDescent="0.25">
      <c r="B41" s="123" t="s">
        <v>63</v>
      </c>
      <c r="C41" s="70">
        <v>5</v>
      </c>
      <c r="D41" s="70">
        <v>4</v>
      </c>
      <c r="E41" s="70">
        <v>7</v>
      </c>
      <c r="F41" s="70">
        <v>7</v>
      </c>
      <c r="G41" s="70">
        <v>7</v>
      </c>
      <c r="H41" s="70">
        <v>7</v>
      </c>
      <c r="I41" s="124">
        <f t="shared" si="2"/>
        <v>0</v>
      </c>
      <c r="J41" s="70">
        <f t="shared" si="3"/>
        <v>0</v>
      </c>
      <c r="K41" s="124">
        <f>H41/H39</f>
        <v>0.35</v>
      </c>
      <c r="L41" s="70">
        <v>7</v>
      </c>
      <c r="M41" s="70">
        <v>7</v>
      </c>
      <c r="N41" s="70">
        <v>7</v>
      </c>
      <c r="O41" s="70">
        <v>8</v>
      </c>
      <c r="P41" s="70">
        <v>8</v>
      </c>
      <c r="Q41" s="124">
        <f t="shared" si="0"/>
        <v>0</v>
      </c>
      <c r="R41" s="70">
        <f t="shared" si="1"/>
        <v>0</v>
      </c>
      <c r="S41" s="124">
        <f>P41/P39</f>
        <v>0.4</v>
      </c>
    </row>
    <row r="42" spans="2:19" x14ac:dyDescent="0.25">
      <c r="B42" s="123" t="s">
        <v>64</v>
      </c>
      <c r="C42" s="70">
        <v>18</v>
      </c>
      <c r="D42" s="70">
        <v>7</v>
      </c>
      <c r="E42" s="70">
        <v>6</v>
      </c>
      <c r="F42" s="70">
        <v>10</v>
      </c>
      <c r="G42" s="70">
        <v>12</v>
      </c>
      <c r="H42" s="70">
        <v>13</v>
      </c>
      <c r="I42" s="124">
        <f t="shared" si="2"/>
        <v>8.3333333333333259E-2</v>
      </c>
      <c r="J42" s="70">
        <f t="shared" si="3"/>
        <v>1</v>
      </c>
      <c r="K42" s="124">
        <f>H42/H39</f>
        <v>0.65</v>
      </c>
      <c r="L42" s="70">
        <v>7</v>
      </c>
      <c r="M42" s="70">
        <v>12</v>
      </c>
      <c r="N42" s="70">
        <v>13</v>
      </c>
      <c r="O42" s="70">
        <v>12</v>
      </c>
      <c r="P42" s="70">
        <v>12</v>
      </c>
      <c r="Q42" s="124">
        <f t="shared" si="0"/>
        <v>0</v>
      </c>
      <c r="R42" s="70">
        <f t="shared" si="1"/>
        <v>0</v>
      </c>
      <c r="S42" s="124">
        <f>P42/P39</f>
        <v>0.6</v>
      </c>
    </row>
    <row r="43" spans="2:19" x14ac:dyDescent="0.25">
      <c r="B43" s="117" t="s">
        <v>54</v>
      </c>
      <c r="C43" s="125">
        <v>19</v>
      </c>
      <c r="D43" s="125">
        <v>9</v>
      </c>
      <c r="E43" s="125">
        <v>11</v>
      </c>
      <c r="F43" s="125">
        <v>14</v>
      </c>
      <c r="G43" s="125">
        <v>14</v>
      </c>
      <c r="H43" s="125">
        <v>14</v>
      </c>
      <c r="I43" s="126">
        <f t="shared" si="2"/>
        <v>0</v>
      </c>
      <c r="J43" s="125">
        <f t="shared" si="3"/>
        <v>0</v>
      </c>
      <c r="K43" s="119">
        <f>H43/H43</f>
        <v>1</v>
      </c>
      <c r="L43" s="125">
        <v>14</v>
      </c>
      <c r="M43" s="125">
        <v>14</v>
      </c>
      <c r="N43" s="125">
        <v>14</v>
      </c>
      <c r="O43" s="125">
        <v>14</v>
      </c>
      <c r="P43" s="125">
        <v>15</v>
      </c>
      <c r="Q43" s="126">
        <f t="shared" si="0"/>
        <v>7.1428571428571397E-2</v>
      </c>
      <c r="R43" s="125">
        <f t="shared" si="1"/>
        <v>1</v>
      </c>
      <c r="S43" s="119">
        <f>P43/P43</f>
        <v>1</v>
      </c>
    </row>
    <row r="44" spans="2:19" x14ac:dyDescent="0.25">
      <c r="B44" s="120" t="s">
        <v>62</v>
      </c>
      <c r="C44" s="121">
        <v>7</v>
      </c>
      <c r="D44" s="121">
        <v>4</v>
      </c>
      <c r="E44" s="121">
        <v>5</v>
      </c>
      <c r="F44" s="121">
        <v>8</v>
      </c>
      <c r="G44" s="121">
        <v>8</v>
      </c>
      <c r="H44" s="121">
        <v>8</v>
      </c>
      <c r="I44" s="122">
        <f t="shared" si="2"/>
        <v>0</v>
      </c>
      <c r="J44" s="121">
        <f t="shared" si="3"/>
        <v>0</v>
      </c>
      <c r="K44" s="122">
        <f>H44/H43</f>
        <v>0.5714285714285714</v>
      </c>
      <c r="L44" s="121">
        <v>8</v>
      </c>
      <c r="M44" s="121">
        <v>8</v>
      </c>
      <c r="N44" s="121">
        <v>8</v>
      </c>
      <c r="O44" s="121">
        <v>8</v>
      </c>
      <c r="P44" s="121">
        <v>8</v>
      </c>
      <c r="Q44" s="122">
        <f t="shared" si="0"/>
        <v>0</v>
      </c>
      <c r="R44" s="121">
        <f t="shared" si="1"/>
        <v>0</v>
      </c>
      <c r="S44" s="122">
        <f>P44/P43</f>
        <v>0.53333333333333333</v>
      </c>
    </row>
    <row r="45" spans="2:19" x14ac:dyDescent="0.25">
      <c r="B45" s="123" t="s">
        <v>63</v>
      </c>
      <c r="C45" s="70">
        <v>5</v>
      </c>
      <c r="D45" s="70">
        <v>0</v>
      </c>
      <c r="E45" s="70">
        <v>4</v>
      </c>
      <c r="F45" s="70">
        <v>6</v>
      </c>
      <c r="G45" s="70">
        <v>6</v>
      </c>
      <c r="H45" s="70">
        <v>6</v>
      </c>
      <c r="I45" s="124">
        <f t="shared" si="2"/>
        <v>0</v>
      </c>
      <c r="J45" s="70">
        <f t="shared" si="3"/>
        <v>0</v>
      </c>
      <c r="K45" s="124">
        <f>H45/H43</f>
        <v>0.42857142857142855</v>
      </c>
      <c r="L45" s="70">
        <v>6</v>
      </c>
      <c r="M45" s="70">
        <v>6</v>
      </c>
      <c r="N45" s="70">
        <v>6</v>
      </c>
      <c r="O45" s="70">
        <v>6</v>
      </c>
      <c r="P45" s="70">
        <v>6</v>
      </c>
      <c r="Q45" s="124">
        <f t="shared" si="0"/>
        <v>0</v>
      </c>
      <c r="R45" s="70">
        <f t="shared" si="1"/>
        <v>0</v>
      </c>
      <c r="S45" s="124">
        <f>P45/P43</f>
        <v>0.4</v>
      </c>
    </row>
    <row r="46" spans="2:19" x14ac:dyDescent="0.25">
      <c r="B46" s="123" t="s">
        <v>64</v>
      </c>
      <c r="C46" s="70">
        <v>2</v>
      </c>
      <c r="D46" s="70">
        <v>0</v>
      </c>
      <c r="E46" s="70">
        <v>2</v>
      </c>
      <c r="F46" s="70">
        <v>2</v>
      </c>
      <c r="G46" s="70">
        <v>2</v>
      </c>
      <c r="H46" s="70">
        <v>2</v>
      </c>
      <c r="I46" s="124">
        <f t="shared" si="2"/>
        <v>0</v>
      </c>
      <c r="J46" s="70">
        <f t="shared" si="3"/>
        <v>0</v>
      </c>
      <c r="K46" s="124">
        <f>H46/H43</f>
        <v>0.14285714285714285</v>
      </c>
      <c r="L46" s="70">
        <v>2</v>
      </c>
      <c r="M46" s="70">
        <v>2</v>
      </c>
      <c r="N46" s="70">
        <v>2</v>
      </c>
      <c r="O46" s="70">
        <v>2</v>
      </c>
      <c r="P46" s="70">
        <v>2</v>
      </c>
      <c r="Q46" s="124">
        <f t="shared" si="0"/>
        <v>0</v>
      </c>
      <c r="R46" s="70">
        <f t="shared" si="1"/>
        <v>0</v>
      </c>
      <c r="S46" s="124">
        <f>P46/P43</f>
        <v>0.13333333333333333</v>
      </c>
    </row>
    <row r="47" spans="2:19" x14ac:dyDescent="0.25">
      <c r="B47" s="120" t="s">
        <v>65</v>
      </c>
      <c r="C47" s="121">
        <v>12</v>
      </c>
      <c r="D47" s="121">
        <v>5</v>
      </c>
      <c r="E47" s="121">
        <v>6</v>
      </c>
      <c r="F47" s="121">
        <v>6</v>
      </c>
      <c r="G47" s="121">
        <v>6</v>
      </c>
      <c r="H47" s="121">
        <v>6</v>
      </c>
      <c r="I47" s="122">
        <f t="shared" si="2"/>
        <v>0</v>
      </c>
      <c r="J47" s="121">
        <f t="shared" si="3"/>
        <v>0</v>
      </c>
      <c r="K47" s="122">
        <f>H47/H43</f>
        <v>0.42857142857142855</v>
      </c>
      <c r="L47" s="121">
        <v>6</v>
      </c>
      <c r="M47" s="121">
        <v>6</v>
      </c>
      <c r="N47" s="121">
        <v>6</v>
      </c>
      <c r="O47" s="121">
        <v>6</v>
      </c>
      <c r="P47" s="121">
        <v>7</v>
      </c>
      <c r="Q47" s="122">
        <f t="shared" si="0"/>
        <v>0.16666666666666674</v>
      </c>
      <c r="R47" s="121">
        <f t="shared" si="1"/>
        <v>1</v>
      </c>
      <c r="S47" s="122">
        <f>P47/P43</f>
        <v>0.46666666666666667</v>
      </c>
    </row>
    <row r="48" spans="2:19" x14ac:dyDescent="0.25">
      <c r="B48" s="117" t="s">
        <v>55</v>
      </c>
      <c r="C48" s="125">
        <v>22</v>
      </c>
      <c r="D48" s="125">
        <v>11</v>
      </c>
      <c r="E48" s="125">
        <v>13</v>
      </c>
      <c r="F48" s="125">
        <v>16</v>
      </c>
      <c r="G48" s="125">
        <v>16</v>
      </c>
      <c r="H48" s="125">
        <v>18</v>
      </c>
      <c r="I48" s="126">
        <f t="shared" si="2"/>
        <v>0.125</v>
      </c>
      <c r="J48" s="125">
        <f t="shared" si="3"/>
        <v>2</v>
      </c>
      <c r="K48" s="119">
        <f>H48/H48</f>
        <v>1</v>
      </c>
      <c r="L48" s="125">
        <v>16</v>
      </c>
      <c r="M48" s="125">
        <v>16</v>
      </c>
      <c r="N48" s="125">
        <v>18</v>
      </c>
      <c r="O48" s="125">
        <v>19</v>
      </c>
      <c r="P48" s="125">
        <v>19</v>
      </c>
      <c r="Q48" s="126">
        <f t="shared" si="0"/>
        <v>0</v>
      </c>
      <c r="R48" s="125">
        <f t="shared" si="1"/>
        <v>0</v>
      </c>
      <c r="S48" s="119">
        <f>P48/P48</f>
        <v>1</v>
      </c>
    </row>
    <row r="49" spans="2:19" x14ac:dyDescent="0.25">
      <c r="B49" s="120" t="s">
        <v>62</v>
      </c>
      <c r="C49" s="121">
        <v>18</v>
      </c>
      <c r="D49" s="121">
        <v>9</v>
      </c>
      <c r="E49" s="121">
        <v>12</v>
      </c>
      <c r="F49" s="121">
        <v>14</v>
      </c>
      <c r="G49" s="121">
        <v>13</v>
      </c>
      <c r="H49" s="121">
        <v>15</v>
      </c>
      <c r="I49" s="122">
        <f t="shared" si="2"/>
        <v>0.15384615384615374</v>
      </c>
      <c r="J49" s="121">
        <f t="shared" si="3"/>
        <v>2</v>
      </c>
      <c r="K49" s="122">
        <f>H49/H48</f>
        <v>0.83333333333333337</v>
      </c>
      <c r="L49" s="121">
        <v>14</v>
      </c>
      <c r="M49" s="121">
        <v>14</v>
      </c>
      <c r="N49" s="121">
        <v>15</v>
      </c>
      <c r="O49" s="121">
        <v>16</v>
      </c>
      <c r="P49" s="121">
        <v>16</v>
      </c>
      <c r="Q49" s="122">
        <f t="shared" si="0"/>
        <v>0</v>
      </c>
      <c r="R49" s="121">
        <f t="shared" si="1"/>
        <v>0</v>
      </c>
      <c r="S49" s="122">
        <f>P49/P48</f>
        <v>0.84210526315789469</v>
      </c>
    </row>
    <row r="50" spans="2:19" x14ac:dyDescent="0.25">
      <c r="B50" s="123" t="s">
        <v>63</v>
      </c>
      <c r="C50" s="70">
        <v>9</v>
      </c>
      <c r="D50" s="70">
        <v>5</v>
      </c>
      <c r="E50" s="70">
        <v>8</v>
      </c>
      <c r="F50" s="70">
        <v>8</v>
      </c>
      <c r="G50" s="70">
        <v>8</v>
      </c>
      <c r="H50" s="70">
        <v>8</v>
      </c>
      <c r="I50" s="124">
        <f t="shared" si="2"/>
        <v>0</v>
      </c>
      <c r="J50" s="70">
        <f t="shared" si="3"/>
        <v>0</v>
      </c>
      <c r="K50" s="124">
        <f>H50/H48</f>
        <v>0.44444444444444442</v>
      </c>
      <c r="L50" s="70">
        <v>9</v>
      </c>
      <c r="M50" s="70">
        <v>8</v>
      </c>
      <c r="N50" s="70">
        <v>8</v>
      </c>
      <c r="O50" s="70">
        <v>8</v>
      </c>
      <c r="P50" s="70">
        <v>8</v>
      </c>
      <c r="Q50" s="124">
        <f t="shared" si="0"/>
        <v>0</v>
      </c>
      <c r="R50" s="70">
        <f t="shared" si="1"/>
        <v>0</v>
      </c>
      <c r="S50" s="124">
        <f>P50/P48</f>
        <v>0.42105263157894735</v>
      </c>
    </row>
    <row r="51" spans="2:19" x14ac:dyDescent="0.25">
      <c r="B51" s="123" t="s">
        <v>64</v>
      </c>
      <c r="C51" s="70">
        <v>9</v>
      </c>
      <c r="D51" s="70">
        <v>4</v>
      </c>
      <c r="E51" s="70">
        <v>4</v>
      </c>
      <c r="F51" s="70">
        <v>6</v>
      </c>
      <c r="G51" s="70">
        <v>5</v>
      </c>
      <c r="H51" s="70">
        <v>7</v>
      </c>
      <c r="I51" s="124">
        <f t="shared" si="2"/>
        <v>0.39999999999999991</v>
      </c>
      <c r="J51" s="70">
        <f t="shared" si="3"/>
        <v>2</v>
      </c>
      <c r="K51" s="124">
        <f>H51/H48</f>
        <v>0.3888888888888889</v>
      </c>
      <c r="L51" s="70">
        <v>5</v>
      </c>
      <c r="M51" s="70">
        <v>6</v>
      </c>
      <c r="N51" s="70">
        <v>7</v>
      </c>
      <c r="O51" s="70">
        <v>8</v>
      </c>
      <c r="P51" s="70">
        <v>8</v>
      </c>
      <c r="Q51" s="124">
        <f t="shared" si="0"/>
        <v>0</v>
      </c>
      <c r="R51" s="70">
        <f t="shared" si="1"/>
        <v>0</v>
      </c>
      <c r="S51" s="124">
        <f>P51/P48</f>
        <v>0.42105263157894735</v>
      </c>
    </row>
    <row r="52" spans="2:19" x14ac:dyDescent="0.25">
      <c r="B52" s="120" t="s">
        <v>65</v>
      </c>
      <c r="C52" s="121">
        <v>5</v>
      </c>
      <c r="D52" s="121">
        <v>2</v>
      </c>
      <c r="E52" s="121">
        <v>2</v>
      </c>
      <c r="F52" s="121">
        <v>3</v>
      </c>
      <c r="G52" s="121">
        <v>4</v>
      </c>
      <c r="H52" s="121">
        <v>4</v>
      </c>
      <c r="I52" s="122">
        <f t="shared" si="2"/>
        <v>0</v>
      </c>
      <c r="J52" s="121">
        <f t="shared" si="3"/>
        <v>0</v>
      </c>
      <c r="K52" s="122">
        <f>H52/H48</f>
        <v>0.22222222222222221</v>
      </c>
      <c r="L52" s="121">
        <v>3</v>
      </c>
      <c r="M52" s="121">
        <v>3</v>
      </c>
      <c r="N52" s="121">
        <v>4</v>
      </c>
      <c r="O52" s="121">
        <v>4</v>
      </c>
      <c r="P52" s="121">
        <v>4</v>
      </c>
      <c r="Q52" s="122">
        <f t="shared" si="0"/>
        <v>0</v>
      </c>
      <c r="R52" s="121">
        <f t="shared" si="1"/>
        <v>0</v>
      </c>
      <c r="S52" s="122">
        <f>P52/P48</f>
        <v>0.21052631578947367</v>
      </c>
    </row>
    <row r="53" spans="2:19" ht="4.5" customHeight="1" x14ac:dyDescent="0.25">
      <c r="B53" s="127"/>
      <c r="C53" s="128"/>
      <c r="D53" s="128"/>
      <c r="E53" s="128"/>
      <c r="F53" s="128"/>
      <c r="G53" s="129"/>
      <c r="H53" s="128"/>
      <c r="I53" s="130"/>
      <c r="J53" s="128"/>
      <c r="K53" s="130"/>
      <c r="L53" s="128"/>
      <c r="M53" s="128"/>
      <c r="N53" s="128"/>
      <c r="O53" s="128"/>
      <c r="P53" s="130"/>
      <c r="Q53" s="130"/>
      <c r="R53" s="130"/>
    </row>
    <row r="54" spans="2:19" x14ac:dyDescent="0.25">
      <c r="B54" s="131" t="s">
        <v>57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</row>
  </sheetData>
  <mergeCells count="2">
    <mergeCell ref="C5:H5"/>
    <mergeCell ref="L5:P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33255-4E91-4A5E-8EBA-BA0FA4242019}">
  <sheetPr>
    <tabColor theme="7"/>
  </sheetPr>
  <dimension ref="A4:A24"/>
  <sheetViews>
    <sheetView showGridLines="0" workbookViewId="0">
      <selection activeCell="D5" sqref="D5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DB2C6-3E7D-4CD5-8DD7-84BE32310B87}">
  <sheetPr>
    <tabColor theme="7" tint="0.79998168889431442"/>
  </sheetPr>
  <dimension ref="A4:O290"/>
  <sheetViews>
    <sheetView showGridLines="0" topLeftCell="F268" zoomScaleNormal="100" workbookViewId="0">
      <selection activeCell="D5" sqref="D5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239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70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>E7-1</f>
        <v>2020</v>
      </c>
      <c r="D7" s="139"/>
      <c r="E7" s="140">
        <f>G7-1</f>
        <v>2021</v>
      </c>
      <c r="F7" s="139"/>
      <c r="G7" s="140">
        <f>I7-1</f>
        <v>2022</v>
      </c>
      <c r="H7" s="139"/>
      <c r="I7" s="140">
        <f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",RIGHT(E7,2),"/",RIGHT(E7-1,2))</f>
        <v>var 21/20</v>
      </c>
      <c r="G8" s="144" t="s">
        <v>71</v>
      </c>
      <c r="H8" s="143" t="str">
        <f>CONCATENATE("var ",RIGHT(G7,2),"/",RIGHT(G7-1,2))</f>
        <v>var 22/21</v>
      </c>
      <c r="I8" s="144" t="s">
        <v>71</v>
      </c>
      <c r="J8" s="143" t="str">
        <f>CONCATENATE("var ",RIGHT(I7,2),"/",RIGHT(I7-1,2))</f>
        <v>var 23/22</v>
      </c>
      <c r="K8" s="144" t="s">
        <v>71</v>
      </c>
      <c r="L8" s="143" t="str">
        <f>CONCATENATE("var ",RIGHT(K7,2),"/",RIGHT(K7-1,2))</f>
        <v>var 24/23</v>
      </c>
      <c r="M8" s="144" t="s">
        <v>71</v>
      </c>
      <c r="N8" s="143" t="str">
        <f>CONCATENATE("var ",RIGHT(M7,2),"/",RIGHT(M7-1,2))</f>
        <v>var 25/24</v>
      </c>
    </row>
    <row r="9" spans="1:15" x14ac:dyDescent="0.25">
      <c r="A9" s="1" t="s">
        <v>72</v>
      </c>
      <c r="B9" s="145" t="s">
        <v>73</v>
      </c>
      <c r="C9" s="146">
        <v>5197</v>
      </c>
      <c r="D9" s="147">
        <v>0.10199321458863442</v>
      </c>
      <c r="E9" s="146">
        <v>1146</v>
      </c>
      <c r="F9" s="147">
        <f t="shared" ref="F9:L21" si="0">IFERROR(E9/C9-1,"-")</f>
        <v>-0.77948816624975947</v>
      </c>
      <c r="G9" s="146">
        <v>3527</v>
      </c>
      <c r="H9" s="147">
        <f>IFERROR(G9/E9-1,"-")</f>
        <v>2.0776614310645725</v>
      </c>
      <c r="I9" s="146">
        <v>5390</v>
      </c>
      <c r="J9" s="147">
        <f t="shared" si="0"/>
        <v>0.52821094414516589</v>
      </c>
      <c r="K9" s="146">
        <v>5217</v>
      </c>
      <c r="L9" s="147">
        <f t="shared" si="0"/>
        <v>-3.2096474953617782E-2</v>
      </c>
      <c r="M9" s="146">
        <v>5311</v>
      </c>
      <c r="N9" s="147">
        <f t="shared" ref="N9:N18" si="1">IFERROR(M9/K9-1,"-")</f>
        <v>1.8018018018018056E-2</v>
      </c>
    </row>
    <row r="10" spans="1:15" x14ac:dyDescent="0.25">
      <c r="A10" s="1" t="s">
        <v>74</v>
      </c>
      <c r="B10" s="145" t="s">
        <v>75</v>
      </c>
      <c r="C10" s="146">
        <v>5359</v>
      </c>
      <c r="D10" s="147">
        <v>8.5916919959473148E-2</v>
      </c>
      <c r="E10" s="146">
        <v>1385</v>
      </c>
      <c r="F10" s="147">
        <f t="shared" si="0"/>
        <v>-0.74155626049636125</v>
      </c>
      <c r="G10" s="146">
        <v>4177</v>
      </c>
      <c r="H10" s="147">
        <f t="shared" si="0"/>
        <v>2.0158844765342958</v>
      </c>
      <c r="I10" s="146">
        <v>5270</v>
      </c>
      <c r="J10" s="147">
        <f t="shared" si="0"/>
        <v>0.2616710557816615</v>
      </c>
      <c r="K10" s="146">
        <v>4803</v>
      </c>
      <c r="L10" s="147">
        <f t="shared" si="0"/>
        <v>-8.861480075901329E-2</v>
      </c>
      <c r="M10" s="146">
        <v>4194</v>
      </c>
      <c r="N10" s="147">
        <f t="shared" si="1"/>
        <v>-0.12679575265459087</v>
      </c>
    </row>
    <row r="11" spans="1:15" x14ac:dyDescent="0.25">
      <c r="A11" s="1" t="s">
        <v>76</v>
      </c>
      <c r="B11" s="145" t="s">
        <v>77</v>
      </c>
      <c r="C11" s="146">
        <v>2198</v>
      </c>
      <c r="D11" s="147">
        <v>-0.57303807303807308</v>
      </c>
      <c r="E11" s="146">
        <v>2288</v>
      </c>
      <c r="F11" s="147">
        <f t="shared" si="0"/>
        <v>4.0946314831665109E-2</v>
      </c>
      <c r="G11" s="146">
        <v>4740</v>
      </c>
      <c r="H11" s="147">
        <f t="shared" si="0"/>
        <v>1.0716783216783217</v>
      </c>
      <c r="I11" s="146">
        <v>5659</v>
      </c>
      <c r="J11" s="147">
        <f t="shared" si="0"/>
        <v>0.19388185654008439</v>
      </c>
      <c r="K11" s="146">
        <v>5168</v>
      </c>
      <c r="L11" s="147">
        <f t="shared" si="0"/>
        <v>-8.6764446015197061E-2</v>
      </c>
      <c r="M11" s="146">
        <v>5342</v>
      </c>
      <c r="N11" s="147">
        <f t="shared" si="1"/>
        <v>3.3668730650154854E-2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1830</v>
      </c>
      <c r="F12" s="147" t="str">
        <f t="shared" si="0"/>
        <v>-</v>
      </c>
      <c r="G12" s="146">
        <v>4075</v>
      </c>
      <c r="H12" s="147">
        <f t="shared" si="0"/>
        <v>1.2267759562841531</v>
      </c>
      <c r="I12" s="146">
        <v>5170</v>
      </c>
      <c r="J12" s="147">
        <f t="shared" si="0"/>
        <v>0.26871165644171779</v>
      </c>
      <c r="K12" s="146">
        <v>5054</v>
      </c>
      <c r="L12" s="147">
        <f t="shared" si="0"/>
        <v>-2.2437137330754364E-2</v>
      </c>
      <c r="M12" s="146">
        <v>4308</v>
      </c>
      <c r="N12" s="147">
        <f t="shared" si="1"/>
        <v>-0.147605856747131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2659</v>
      </c>
      <c r="F13" s="147" t="str">
        <f t="shared" si="0"/>
        <v>-</v>
      </c>
      <c r="G13" s="146">
        <v>3632</v>
      </c>
      <c r="H13" s="147">
        <f t="shared" si="0"/>
        <v>0.365927040240692</v>
      </c>
      <c r="I13" s="146">
        <v>5013</v>
      </c>
      <c r="J13" s="147">
        <f t="shared" si="0"/>
        <v>0.38023127753303965</v>
      </c>
      <c r="K13" s="146">
        <v>4992</v>
      </c>
      <c r="L13" s="147">
        <f t="shared" si="0"/>
        <v>-4.1891083183722699E-3</v>
      </c>
      <c r="M13" s="146">
        <v>4998</v>
      </c>
      <c r="N13" s="147">
        <f t="shared" si="1"/>
        <v>1.2019230769231282E-3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2494</v>
      </c>
      <c r="F14" s="147" t="str">
        <f t="shared" si="0"/>
        <v>-</v>
      </c>
      <c r="G14" s="146">
        <v>4520</v>
      </c>
      <c r="H14" s="147">
        <f t="shared" si="0"/>
        <v>0.81234963913392133</v>
      </c>
      <c r="I14" s="146">
        <v>4181</v>
      </c>
      <c r="J14" s="147">
        <f t="shared" si="0"/>
        <v>-7.4999999999999956E-2</v>
      </c>
      <c r="K14" s="146">
        <v>3964</v>
      </c>
      <c r="L14" s="147">
        <f t="shared" si="0"/>
        <v>-5.1901458981104986E-2</v>
      </c>
      <c r="M14" s="146">
        <v>4119</v>
      </c>
      <c r="N14" s="147">
        <f t="shared" si="1"/>
        <v>3.9101917255297769E-2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2428</v>
      </c>
      <c r="F15" s="147" t="str">
        <f t="shared" si="0"/>
        <v>-</v>
      </c>
      <c r="G15" s="146">
        <v>4275</v>
      </c>
      <c r="H15" s="147">
        <f t="shared" si="0"/>
        <v>0.76070840197693568</v>
      </c>
      <c r="I15" s="146">
        <v>4340</v>
      </c>
      <c r="J15" s="147">
        <f t="shared" si="0"/>
        <v>1.5204678362572999E-2</v>
      </c>
      <c r="K15" s="146">
        <v>4593</v>
      </c>
      <c r="L15" s="147">
        <f t="shared" si="0"/>
        <v>5.8294930875576023E-2</v>
      </c>
      <c r="M15" s="146">
        <v>3637</v>
      </c>
      <c r="N15" s="147">
        <f t="shared" si="1"/>
        <v>-0.20814282603962553</v>
      </c>
    </row>
    <row r="16" spans="1:15" x14ac:dyDescent="0.25">
      <c r="A16" s="1" t="s">
        <v>86</v>
      </c>
      <c r="B16" s="145" t="s">
        <v>87</v>
      </c>
      <c r="C16" s="146">
        <v>2777</v>
      </c>
      <c r="D16" s="147">
        <v>-0.34241060857210515</v>
      </c>
      <c r="E16" s="146">
        <v>2929</v>
      </c>
      <c r="F16" s="147">
        <f t="shared" si="0"/>
        <v>5.473532589124952E-2</v>
      </c>
      <c r="G16" s="146">
        <v>3932</v>
      </c>
      <c r="H16" s="147">
        <f t="shared" si="0"/>
        <v>0.34243769204506647</v>
      </c>
      <c r="I16" s="146">
        <v>4645</v>
      </c>
      <c r="J16" s="147">
        <f t="shared" si="0"/>
        <v>0.18133265513733465</v>
      </c>
      <c r="K16" s="146">
        <v>2899</v>
      </c>
      <c r="L16" s="147">
        <f t="shared" si="0"/>
        <v>-0.37588805166846073</v>
      </c>
      <c r="M16" s="146">
        <v>4117</v>
      </c>
      <c r="N16" s="147">
        <f t="shared" si="1"/>
        <v>0.42014487754398067</v>
      </c>
    </row>
    <row r="17" spans="1:15" x14ac:dyDescent="0.25">
      <c r="A17" s="1" t="s">
        <v>88</v>
      </c>
      <c r="B17" s="145" t="s">
        <v>89</v>
      </c>
      <c r="C17" s="146">
        <v>1764</v>
      </c>
      <c r="D17" s="147">
        <v>-0.54002607561929594</v>
      </c>
      <c r="E17" s="146">
        <v>3914</v>
      </c>
      <c r="F17" s="147">
        <f t="shared" si="0"/>
        <v>1.2188208616780045</v>
      </c>
      <c r="G17" s="146">
        <v>4578</v>
      </c>
      <c r="H17" s="147">
        <f t="shared" si="0"/>
        <v>0.16964741951967288</v>
      </c>
      <c r="I17" s="146">
        <v>4521</v>
      </c>
      <c r="J17" s="147">
        <f t="shared" si="0"/>
        <v>-1.2450851900393189E-2</v>
      </c>
      <c r="K17" s="146">
        <v>5087</v>
      </c>
      <c r="L17" s="147">
        <f t="shared" si="0"/>
        <v>0.12519354125193538</v>
      </c>
      <c r="M17" s="146">
        <v>4387</v>
      </c>
      <c r="N17" s="147">
        <f t="shared" si="1"/>
        <v>-0.13760566149007269</v>
      </c>
    </row>
    <row r="18" spans="1:15" x14ac:dyDescent="0.25">
      <c r="A18" s="1" t="s">
        <v>90</v>
      </c>
      <c r="B18" s="145" t="s">
        <v>91</v>
      </c>
      <c r="C18" s="146">
        <v>1764</v>
      </c>
      <c r="D18" s="147">
        <v>-0.62283515073765239</v>
      </c>
      <c r="E18" s="146">
        <v>3380</v>
      </c>
      <c r="F18" s="147">
        <f t="shared" si="0"/>
        <v>0.91609977324263037</v>
      </c>
      <c r="G18" s="146">
        <v>4025</v>
      </c>
      <c r="H18" s="147">
        <f t="shared" si="0"/>
        <v>0.19082840236686383</v>
      </c>
      <c r="I18" s="146">
        <v>4419</v>
      </c>
      <c r="J18" s="147">
        <f t="shared" si="0"/>
        <v>9.7888198757764E-2</v>
      </c>
      <c r="K18" s="146">
        <v>4919</v>
      </c>
      <c r="L18" s="147">
        <f t="shared" si="0"/>
        <v>0.11314777098891149</v>
      </c>
      <c r="M18" s="146">
        <v>5990</v>
      </c>
      <c r="N18" s="147">
        <f t="shared" si="1"/>
        <v>0.21772718032120353</v>
      </c>
    </row>
    <row r="19" spans="1:15" x14ac:dyDescent="0.25">
      <c r="A19" s="1" t="s">
        <v>92</v>
      </c>
      <c r="B19" s="145" t="s">
        <v>93</v>
      </c>
      <c r="C19" s="146">
        <v>1763</v>
      </c>
      <c r="D19" s="147">
        <v>-0.70714285714285707</v>
      </c>
      <c r="E19" s="146">
        <v>4448</v>
      </c>
      <c r="F19" s="147">
        <f t="shared" si="0"/>
        <v>1.5229722064662505</v>
      </c>
      <c r="G19" s="146">
        <v>4838</v>
      </c>
      <c r="H19" s="147">
        <f t="shared" si="0"/>
        <v>8.7679856115107979E-2</v>
      </c>
      <c r="I19" s="146">
        <v>4964</v>
      </c>
      <c r="J19" s="147">
        <f t="shared" si="0"/>
        <v>2.6043819760231512E-2</v>
      </c>
      <c r="K19" s="146">
        <v>5464</v>
      </c>
      <c r="L19" s="147">
        <f t="shared" si="0"/>
        <v>0.10072522159548747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1794</v>
      </c>
      <c r="D20" s="147">
        <v>-0.6889197156233744</v>
      </c>
      <c r="E20" s="146">
        <v>4543</v>
      </c>
      <c r="F20" s="147">
        <f t="shared" si="0"/>
        <v>1.5323299888517279</v>
      </c>
      <c r="G20" s="146">
        <v>5166</v>
      </c>
      <c r="H20" s="147">
        <f t="shared" si="0"/>
        <v>0.13713405238828957</v>
      </c>
      <c r="I20" s="146">
        <v>4585</v>
      </c>
      <c r="J20" s="147">
        <f t="shared" si="0"/>
        <v>-0.11246612466124661</v>
      </c>
      <c r="K20" s="146">
        <v>5228</v>
      </c>
      <c r="L20" s="147">
        <f t="shared" si="0"/>
        <v>0.14023991275899683</v>
      </c>
      <c r="M20" s="146"/>
      <c r="N20" s="147"/>
    </row>
    <row r="21" spans="1:15" ht="15.75" x14ac:dyDescent="0.25">
      <c r="A21" s="1" t="s">
        <v>0</v>
      </c>
      <c r="B21" s="148" t="s">
        <v>32</v>
      </c>
      <c r="C21" s="149">
        <v>24221</v>
      </c>
      <c r="D21" s="150">
        <v>-0.56660761894537193</v>
      </c>
      <c r="E21" s="149">
        <v>33444</v>
      </c>
      <c r="F21" s="150">
        <f t="shared" si="0"/>
        <v>0.38078526898146237</v>
      </c>
      <c r="G21" s="149">
        <v>51485</v>
      </c>
      <c r="H21" s="150">
        <f t="shared" si="0"/>
        <v>0.53943906231312044</v>
      </c>
      <c r="I21" s="149">
        <v>58157</v>
      </c>
      <c r="J21" s="150">
        <f t="shared" si="0"/>
        <v>0.12959114305137409</v>
      </c>
      <c r="K21" s="149">
        <v>57388</v>
      </c>
      <c r="L21" s="150">
        <f t="shared" si="0"/>
        <v>-1.3222827862510056E-2</v>
      </c>
      <c r="M21" s="149">
        <v>46403</v>
      </c>
      <c r="N21" s="150">
        <v>-6.2746273770772909E-3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E24" s="151"/>
      <c r="G24" s="151"/>
      <c r="I24" s="151"/>
      <c r="K24" s="151"/>
      <c r="N24" s="103"/>
    </row>
    <row r="26" spans="1:15" ht="48.75" customHeight="1" thickBot="1" x14ac:dyDescent="0.3">
      <c r="B26" s="12" t="s">
        <v>240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99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C$7</f>
        <v>2020</v>
      </c>
      <c r="D29" s="139"/>
      <c r="E29" s="138">
        <f>E$7</f>
        <v>2021</v>
      </c>
      <c r="F29" s="139"/>
      <c r="G29" s="138">
        <f>G$7</f>
        <v>2022</v>
      </c>
      <c r="H29" s="139"/>
      <c r="I29" s="138">
        <f>I$7</f>
        <v>2023</v>
      </c>
      <c r="J29" s="139"/>
      <c r="K29" s="138">
        <f>K$7</f>
        <v>2024</v>
      </c>
      <c r="L29" s="139"/>
      <c r="M29" s="138">
        <f>M$7</f>
        <v>2025</v>
      </c>
      <c r="N29" s="139"/>
    </row>
    <row r="30" spans="1:15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",RIGHT(E29,2),"/",RIGHT(E29-1,2))</f>
        <v>var 21/20</v>
      </c>
      <c r="G30" s="144" t="s">
        <v>71</v>
      </c>
      <c r="H30" s="143" t="str">
        <f>CONCATENATE("var ",RIGHT(G29,2),"/",RIGHT(G29-1,2))</f>
        <v>var 22/21</v>
      </c>
      <c r="I30" s="144" t="s">
        <v>71</v>
      </c>
      <c r="J30" s="143" t="str">
        <f>CONCATENATE("var ",RIGHT(I29,2),"/",RIGHT(I29-1,2))</f>
        <v>var 23/22</v>
      </c>
      <c r="K30" s="144" t="s">
        <v>71</v>
      </c>
      <c r="L30" s="143" t="str">
        <f>CONCATENATE("var ",RIGHT(K29,2),"/",RIGHT(K29-1,2))</f>
        <v>var 24/23</v>
      </c>
      <c r="M30" s="144" t="s">
        <v>71</v>
      </c>
      <c r="N30" s="143" t="str">
        <f>CONCATENATE("var ",RIGHT(M29,2),"/",RIGHT(M29-1,2))</f>
        <v>var 25/24</v>
      </c>
    </row>
    <row r="31" spans="1:15" x14ac:dyDescent="0.25">
      <c r="B31" s="145" t="s">
        <v>73</v>
      </c>
      <c r="C31" s="146">
        <v>3059</v>
      </c>
      <c r="D31" s="147">
        <v>0.13086876155268024</v>
      </c>
      <c r="E31" s="146">
        <v>582</v>
      </c>
      <c r="F31" s="147">
        <f t="shared" ref="F31:L43" si="2">IFERROR(E31/C31-1,"-")</f>
        <v>-0.80974174566851909</v>
      </c>
      <c r="G31" s="146">
        <v>1773</v>
      </c>
      <c r="H31" s="147">
        <f t="shared" si="2"/>
        <v>2.0463917525773194</v>
      </c>
      <c r="I31" s="146">
        <v>3042</v>
      </c>
      <c r="J31" s="147">
        <f t="shared" si="2"/>
        <v>0.71573604060913709</v>
      </c>
      <c r="K31" s="146">
        <v>2177</v>
      </c>
      <c r="L31" s="147">
        <f t="shared" si="2"/>
        <v>-0.28435239973701509</v>
      </c>
      <c r="M31" s="146">
        <v>2652</v>
      </c>
      <c r="N31" s="147">
        <f t="shared" ref="N31" si="3">IFERROR(M31/K31-1,"-")</f>
        <v>0.21819016995865881</v>
      </c>
    </row>
    <row r="32" spans="1:15" x14ac:dyDescent="0.25">
      <c r="B32" s="145" t="s">
        <v>75</v>
      </c>
      <c r="C32" s="146">
        <v>3061</v>
      </c>
      <c r="D32" s="147">
        <v>5.5153395380903136E-2</v>
      </c>
      <c r="E32" s="146">
        <v>799</v>
      </c>
      <c r="F32" s="147">
        <f t="shared" si="2"/>
        <v>-0.73897419144070564</v>
      </c>
      <c r="G32" s="146">
        <v>2253</v>
      </c>
      <c r="H32" s="147">
        <f t="shared" si="2"/>
        <v>1.8197747183979973</v>
      </c>
      <c r="I32" s="146">
        <v>3101</v>
      </c>
      <c r="J32" s="147">
        <f t="shared" si="2"/>
        <v>0.37638703950288499</v>
      </c>
      <c r="K32" s="146">
        <v>2167</v>
      </c>
      <c r="L32" s="147">
        <f t="shared" si="2"/>
        <v>-0.30119316349564662</v>
      </c>
      <c r="M32" s="146">
        <v>1760</v>
      </c>
      <c r="N32" s="147">
        <f>IFERROR(M32/K32-1,"-")</f>
        <v>-0.18781725888324874</v>
      </c>
    </row>
    <row r="33" spans="2:15" x14ac:dyDescent="0.25">
      <c r="B33" s="145" t="s">
        <v>77</v>
      </c>
      <c r="C33" s="146">
        <v>1334</v>
      </c>
      <c r="D33" s="147">
        <v>-0.55159663865546227</v>
      </c>
      <c r="E33" s="146">
        <v>1368</v>
      </c>
      <c r="F33" s="147">
        <f t="shared" si="2"/>
        <v>2.5487256371814038E-2</v>
      </c>
      <c r="G33" s="146">
        <v>2677</v>
      </c>
      <c r="H33" s="147">
        <f t="shared" si="2"/>
        <v>0.95687134502923987</v>
      </c>
      <c r="I33" s="146">
        <v>3421</v>
      </c>
      <c r="J33" s="147">
        <f t="shared" si="2"/>
        <v>0.27792304818827041</v>
      </c>
      <c r="K33" s="146">
        <v>2632</v>
      </c>
      <c r="L33" s="147">
        <f t="shared" si="2"/>
        <v>-0.23063431745103768</v>
      </c>
      <c r="M33" s="146">
        <v>2763</v>
      </c>
      <c r="N33" s="147">
        <f>IFERROR(M33/K33-1,"-")</f>
        <v>4.9772036474164061E-2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1023</v>
      </c>
      <c r="F34" s="147" t="str">
        <f t="shared" si="2"/>
        <v>-</v>
      </c>
      <c r="G34" s="146">
        <v>2629</v>
      </c>
      <c r="H34" s="147">
        <f t="shared" si="2"/>
        <v>1.5698924731182795</v>
      </c>
      <c r="I34" s="146">
        <v>3521</v>
      </c>
      <c r="J34" s="147">
        <f t="shared" si="2"/>
        <v>0.33929250665652333</v>
      </c>
      <c r="K34" s="146">
        <v>3276</v>
      </c>
      <c r="L34" s="147">
        <f t="shared" si="2"/>
        <v>-6.9582504970178927E-2</v>
      </c>
      <c r="M34" s="146">
        <v>2835</v>
      </c>
      <c r="N34" s="147">
        <f>IFERROR(M34/K34-1,"-")</f>
        <v>-0.13461538461538458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1731</v>
      </c>
      <c r="F35" s="147" t="str">
        <f t="shared" si="2"/>
        <v>-</v>
      </c>
      <c r="G35" s="146">
        <v>2471</v>
      </c>
      <c r="H35" s="147">
        <f t="shared" si="2"/>
        <v>0.42749855574812257</v>
      </c>
      <c r="I35" s="146">
        <v>3551</v>
      </c>
      <c r="J35" s="147">
        <f t="shared" si="2"/>
        <v>0.43707001214083374</v>
      </c>
      <c r="K35" s="146">
        <v>3636</v>
      </c>
      <c r="L35" s="147">
        <f t="shared" si="2"/>
        <v>2.3936919177696359E-2</v>
      </c>
      <c r="M35" s="146">
        <v>3517</v>
      </c>
      <c r="N35" s="147">
        <f>IFERROR(M35/K35-1,"-")</f>
        <v>-3.2728272827282745E-2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1915</v>
      </c>
      <c r="F36" s="147" t="str">
        <f t="shared" si="2"/>
        <v>-</v>
      </c>
      <c r="G36" s="146">
        <v>3580</v>
      </c>
      <c r="H36" s="147">
        <f t="shared" si="2"/>
        <v>0.86945169712793735</v>
      </c>
      <c r="I36" s="146">
        <v>3284</v>
      </c>
      <c r="J36" s="147">
        <f t="shared" si="2"/>
        <v>-8.268156424581008E-2</v>
      </c>
      <c r="K36" s="146">
        <v>3008</v>
      </c>
      <c r="L36" s="147">
        <f t="shared" si="2"/>
        <v>-8.4043848964677204E-2</v>
      </c>
      <c r="M36" s="146">
        <v>3117</v>
      </c>
      <c r="N36" s="147">
        <f t="shared" ref="N36:N40" si="4">IFERROR(M36/K36-1,"-")</f>
        <v>3.6236702127659504E-2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1624</v>
      </c>
      <c r="F37" s="147" t="str">
        <f t="shared" si="2"/>
        <v>-</v>
      </c>
      <c r="G37" s="146">
        <v>3300</v>
      </c>
      <c r="H37" s="147">
        <f t="shared" si="2"/>
        <v>1.0320197044334973</v>
      </c>
      <c r="I37" s="146">
        <v>3186</v>
      </c>
      <c r="J37" s="147">
        <f t="shared" si="2"/>
        <v>-3.4545454545454546E-2</v>
      </c>
      <c r="K37" s="146">
        <v>3447</v>
      </c>
      <c r="L37" s="147">
        <f t="shared" si="2"/>
        <v>8.1920903954802338E-2</v>
      </c>
      <c r="M37" s="146">
        <v>2446</v>
      </c>
      <c r="N37" s="147">
        <f t="shared" si="4"/>
        <v>-0.29039744705541048</v>
      </c>
    </row>
    <row r="38" spans="2:15" x14ac:dyDescent="0.25">
      <c r="B38" s="145" t="s">
        <v>87</v>
      </c>
      <c r="C38" s="146">
        <v>2135</v>
      </c>
      <c r="D38" s="147">
        <v>-0.30569105691056908</v>
      </c>
      <c r="E38" s="146">
        <v>1812</v>
      </c>
      <c r="F38" s="147">
        <f t="shared" si="2"/>
        <v>-0.15128805620608898</v>
      </c>
      <c r="G38" s="146">
        <v>2594</v>
      </c>
      <c r="H38" s="147">
        <f t="shared" si="2"/>
        <v>0.43156732891832239</v>
      </c>
      <c r="I38" s="146">
        <v>3372</v>
      </c>
      <c r="J38" s="147">
        <f t="shared" si="2"/>
        <v>0.29992289899768698</v>
      </c>
      <c r="K38" s="146">
        <v>1718</v>
      </c>
      <c r="L38" s="147">
        <f t="shared" si="2"/>
        <v>-0.49051008303677346</v>
      </c>
      <c r="M38" s="146">
        <v>2948</v>
      </c>
      <c r="N38" s="147">
        <f t="shared" si="4"/>
        <v>0.71594877764842835</v>
      </c>
    </row>
    <row r="39" spans="2:15" x14ac:dyDescent="0.25">
      <c r="B39" s="145" t="s">
        <v>89</v>
      </c>
      <c r="C39" s="146">
        <v>1442</v>
      </c>
      <c r="D39" s="147">
        <v>-0.486284289276808</v>
      </c>
      <c r="E39" s="146">
        <v>3104</v>
      </c>
      <c r="F39" s="147">
        <f t="shared" si="2"/>
        <v>1.1525658807212205</v>
      </c>
      <c r="G39" s="146">
        <v>3509</v>
      </c>
      <c r="H39" s="147">
        <f t="shared" si="2"/>
        <v>0.13047680412371143</v>
      </c>
      <c r="I39" s="146">
        <v>3382</v>
      </c>
      <c r="J39" s="147">
        <f t="shared" si="2"/>
        <v>-3.6192647477913953E-2</v>
      </c>
      <c r="K39" s="146">
        <v>4092</v>
      </c>
      <c r="L39" s="147">
        <f t="shared" si="2"/>
        <v>0.20993494973388538</v>
      </c>
      <c r="M39" s="146">
        <v>3227</v>
      </c>
      <c r="N39" s="147">
        <f t="shared" si="4"/>
        <v>-0.21138807429130013</v>
      </c>
    </row>
    <row r="40" spans="2:15" x14ac:dyDescent="0.25">
      <c r="B40" s="145" t="s">
        <v>91</v>
      </c>
      <c r="C40" s="146">
        <v>1351</v>
      </c>
      <c r="D40" s="147">
        <v>-0.56974522292993623</v>
      </c>
      <c r="E40" s="146">
        <v>2127</v>
      </c>
      <c r="F40" s="147">
        <f t="shared" si="2"/>
        <v>0.57438934122871954</v>
      </c>
      <c r="G40" s="146">
        <v>2508</v>
      </c>
      <c r="H40" s="147">
        <f t="shared" si="2"/>
        <v>0.17912552891396327</v>
      </c>
      <c r="I40" s="146">
        <v>2825</v>
      </c>
      <c r="J40" s="147">
        <f t="shared" si="2"/>
        <v>0.12639553429027117</v>
      </c>
      <c r="K40" s="146">
        <v>3162</v>
      </c>
      <c r="L40" s="147">
        <f t="shared" si="2"/>
        <v>0.11929203539823008</v>
      </c>
      <c r="M40" s="146">
        <v>4225</v>
      </c>
      <c r="N40" s="147">
        <f t="shared" si="4"/>
        <v>0.33617963314358001</v>
      </c>
    </row>
    <row r="41" spans="2:15" x14ac:dyDescent="0.25">
      <c r="B41" s="145" t="s">
        <v>93</v>
      </c>
      <c r="C41" s="146">
        <v>1256</v>
      </c>
      <c r="D41" s="147">
        <v>-0.66444028853860537</v>
      </c>
      <c r="E41" s="146">
        <v>2694</v>
      </c>
      <c r="F41" s="147">
        <f t="shared" si="2"/>
        <v>1.144904458598726</v>
      </c>
      <c r="G41" s="146">
        <v>3156</v>
      </c>
      <c r="H41" s="147">
        <f t="shared" si="2"/>
        <v>0.17149220489977735</v>
      </c>
      <c r="I41" s="146">
        <v>2455</v>
      </c>
      <c r="J41" s="147">
        <f t="shared" si="2"/>
        <v>-0.22211660329531047</v>
      </c>
      <c r="K41" s="146">
        <v>3284</v>
      </c>
      <c r="L41" s="147">
        <f t="shared" si="2"/>
        <v>0.33767820773930746</v>
      </c>
      <c r="M41" s="146"/>
      <c r="N41" s="147"/>
    </row>
    <row r="42" spans="2:15" x14ac:dyDescent="0.25">
      <c r="B42" s="145" t="s">
        <v>95</v>
      </c>
      <c r="C42" s="146">
        <v>1139</v>
      </c>
      <c r="D42" s="147">
        <v>-0.71367521367521369</v>
      </c>
      <c r="E42" s="146">
        <v>2953</v>
      </c>
      <c r="F42" s="147">
        <f t="shared" si="2"/>
        <v>1.5926251097453905</v>
      </c>
      <c r="G42" s="146">
        <v>3359</v>
      </c>
      <c r="H42" s="147">
        <f t="shared" si="2"/>
        <v>0.13748730104977991</v>
      </c>
      <c r="I42" s="146">
        <v>2582</v>
      </c>
      <c r="J42" s="147">
        <f t="shared" si="2"/>
        <v>-0.23131884489431376</v>
      </c>
      <c r="K42" s="146">
        <v>3222</v>
      </c>
      <c r="L42" s="147">
        <f t="shared" si="2"/>
        <v>0.24786986831913249</v>
      </c>
      <c r="M42" s="146"/>
      <c r="N42" s="147"/>
    </row>
    <row r="43" spans="2:15" ht="15.75" x14ac:dyDescent="0.25">
      <c r="B43" s="148" t="s">
        <v>32</v>
      </c>
      <c r="C43" s="149">
        <v>16023</v>
      </c>
      <c r="D43" s="150">
        <v>-0.5683342762466661</v>
      </c>
      <c r="E43" s="149">
        <v>21732</v>
      </c>
      <c r="F43" s="150">
        <f t="shared" si="2"/>
        <v>0.35630031829245468</v>
      </c>
      <c r="G43" s="149">
        <v>33809</v>
      </c>
      <c r="H43" s="150">
        <f t="shared" si="2"/>
        <v>0.55572427756304066</v>
      </c>
      <c r="I43" s="149">
        <v>37722</v>
      </c>
      <c r="J43" s="150">
        <f t="shared" si="2"/>
        <v>0.11573841284864983</v>
      </c>
      <c r="K43" s="149">
        <v>35821</v>
      </c>
      <c r="L43" s="150">
        <f t="shared" si="2"/>
        <v>-5.0394994963151474E-2</v>
      </c>
      <c r="M43" s="149">
        <v>29490</v>
      </c>
      <c r="N43" s="150">
        <v>5.969640115981667E-3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C46" s="151"/>
    </row>
    <row r="47" spans="2:15" x14ac:dyDescent="0.25">
      <c r="E47" s="151"/>
      <c r="G47" s="151"/>
      <c r="I47" s="151"/>
      <c r="K47" s="153"/>
    </row>
    <row r="48" spans="2:15" ht="48.75" customHeight="1" thickBot="1" x14ac:dyDescent="0.3">
      <c r="B48" s="12" t="s">
        <v>241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102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C$7</f>
        <v>2020</v>
      </c>
      <c r="D51" s="139"/>
      <c r="E51" s="138">
        <f>E$7</f>
        <v>2021</v>
      </c>
      <c r="F51" s="139"/>
      <c r="G51" s="138">
        <f>G$7</f>
        <v>2022</v>
      </c>
      <c r="H51" s="139"/>
      <c r="I51" s="138">
        <f>I$7</f>
        <v>2023</v>
      </c>
      <c r="J51" s="139"/>
      <c r="K51" s="138">
        <f>K$7</f>
        <v>2024</v>
      </c>
      <c r="L51" s="139"/>
      <c r="M51" s="138">
        <f>M$7</f>
        <v>2025</v>
      </c>
      <c r="N51" s="139"/>
    </row>
    <row r="52" spans="1:15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",RIGHT(E51,2),"/",RIGHT(E51-1,2))</f>
        <v>var 21/20</v>
      </c>
      <c r="G52" s="144" t="s">
        <v>71</v>
      </c>
      <c r="H52" s="143" t="str">
        <f>CONCATENATE("var ",RIGHT(G51,2),"/",RIGHT(G51-1,2))</f>
        <v>var 22/21</v>
      </c>
      <c r="I52" s="144" t="s">
        <v>71</v>
      </c>
      <c r="J52" s="143" t="str">
        <f>CONCATENATE("var ",RIGHT(I51,2),"/",RIGHT(I51-1,2))</f>
        <v>var 23/22</v>
      </c>
      <c r="K52" s="144" t="s">
        <v>71</v>
      </c>
      <c r="L52" s="143" t="str">
        <f>CONCATENATE("var ",RIGHT(K51,2),"/",RIGHT(K51-1,2))</f>
        <v>var 24/23</v>
      </c>
      <c r="M52" s="144" t="s">
        <v>71</v>
      </c>
      <c r="N52" s="143" t="str">
        <f>CONCATENATE("var ",RIGHT(M51,2),"/",RIGHT(M51-1,2))</f>
        <v>var 25/24</v>
      </c>
    </row>
    <row r="53" spans="1:15" x14ac:dyDescent="0.25">
      <c r="A53" s="1">
        <v>1</v>
      </c>
      <c r="B53" s="145" t="s">
        <v>73</v>
      </c>
      <c r="C53" s="146">
        <v>1208</v>
      </c>
      <c r="D53" s="147">
        <v>-7.2908672294704546E-2</v>
      </c>
      <c r="E53" s="146">
        <v>303</v>
      </c>
      <c r="F53" s="147">
        <f>IFERROR(E53/C53-1,"-")</f>
        <v>-0.7491721854304636</v>
      </c>
      <c r="G53" s="146">
        <v>1039</v>
      </c>
      <c r="H53" s="147">
        <f>IFERROR(G53/E53-1,"-")</f>
        <v>2.4290429042904291</v>
      </c>
      <c r="I53" s="146">
        <v>1557</v>
      </c>
      <c r="J53" s="147">
        <f>IFERROR(I53/G53-1,"-")</f>
        <v>0.49855630413859475</v>
      </c>
      <c r="K53" s="146">
        <v>1445</v>
      </c>
      <c r="L53" s="147">
        <f>IFERROR(K53/I53-1,"-")</f>
        <v>-7.1933204881181712E-2</v>
      </c>
      <c r="M53" s="146">
        <v>1752</v>
      </c>
      <c r="N53" s="147">
        <f t="shared" ref="N53:N62" si="5">IFERROR(M53/K53-1,"-")</f>
        <v>0.21245674740484422</v>
      </c>
    </row>
    <row r="54" spans="1:15" x14ac:dyDescent="0.25">
      <c r="A54" s="1">
        <v>2</v>
      </c>
      <c r="B54" s="145" t="s">
        <v>75</v>
      </c>
      <c r="C54" s="146">
        <v>1387</v>
      </c>
      <c r="D54" s="147">
        <v>-5.5177111716621208E-2</v>
      </c>
      <c r="E54" s="146">
        <v>338</v>
      </c>
      <c r="F54" s="147">
        <f t="shared" ref="F54:L65" si="6">IFERROR(E54/C54-1,"-")</f>
        <v>-0.75630857966834897</v>
      </c>
      <c r="G54" s="146">
        <v>1131</v>
      </c>
      <c r="H54" s="147">
        <f t="shared" si="6"/>
        <v>2.3461538461538463</v>
      </c>
      <c r="I54" s="146">
        <v>2612</v>
      </c>
      <c r="J54" s="147">
        <f t="shared" si="6"/>
        <v>1.3094606542882405</v>
      </c>
      <c r="K54" s="146">
        <v>1852</v>
      </c>
      <c r="L54" s="147">
        <f t="shared" si="6"/>
        <v>-0.29096477794793263</v>
      </c>
      <c r="M54" s="146">
        <v>1371</v>
      </c>
      <c r="N54" s="147">
        <f t="shared" si="5"/>
        <v>-0.25971922246220303</v>
      </c>
    </row>
    <row r="55" spans="1:15" x14ac:dyDescent="0.25">
      <c r="A55" s="1">
        <v>3</v>
      </c>
      <c r="B55" s="145" t="s">
        <v>77</v>
      </c>
      <c r="C55" s="146">
        <v>620</v>
      </c>
      <c r="D55" s="147">
        <v>-0.60684844641724789</v>
      </c>
      <c r="E55" s="146">
        <v>500</v>
      </c>
      <c r="F55" s="147">
        <f t="shared" si="6"/>
        <v>-0.19354838709677424</v>
      </c>
      <c r="G55" s="146">
        <v>1299</v>
      </c>
      <c r="H55" s="147">
        <f t="shared" si="6"/>
        <v>1.5979999999999999</v>
      </c>
      <c r="I55" s="146">
        <v>2794</v>
      </c>
      <c r="J55" s="147">
        <f t="shared" si="6"/>
        <v>1.1508852963818321</v>
      </c>
      <c r="K55" s="146">
        <v>1883</v>
      </c>
      <c r="L55" s="147">
        <f t="shared" si="6"/>
        <v>-0.32605583392984971</v>
      </c>
      <c r="M55" s="146">
        <v>1927</v>
      </c>
      <c r="N55" s="147">
        <f t="shared" si="5"/>
        <v>2.3366967604885769E-2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523</v>
      </c>
      <c r="F56" s="147" t="str">
        <f t="shared" si="6"/>
        <v>-</v>
      </c>
      <c r="G56" s="146">
        <v>1248</v>
      </c>
      <c r="H56" s="147">
        <f t="shared" si="6"/>
        <v>1.3862332695984705</v>
      </c>
      <c r="I56" s="146">
        <v>2342</v>
      </c>
      <c r="J56" s="147">
        <f t="shared" si="6"/>
        <v>0.8766025641025641</v>
      </c>
      <c r="K56" s="146">
        <v>2557</v>
      </c>
      <c r="L56" s="147">
        <f t="shared" si="6"/>
        <v>9.1801878736122999E-2</v>
      </c>
      <c r="M56" s="146">
        <v>2005</v>
      </c>
      <c r="N56" s="147">
        <f t="shared" si="5"/>
        <v>-0.21587798201016817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686</v>
      </c>
      <c r="F57" s="147" t="str">
        <f t="shared" si="6"/>
        <v>-</v>
      </c>
      <c r="G57" s="146">
        <v>1437</v>
      </c>
      <c r="H57" s="147">
        <f t="shared" si="6"/>
        <v>1.0947521865889214</v>
      </c>
      <c r="I57" s="146">
        <v>2194</v>
      </c>
      <c r="J57" s="147">
        <f t="shared" si="6"/>
        <v>0.52679192762700078</v>
      </c>
      <c r="K57" s="146">
        <v>2203</v>
      </c>
      <c r="L57" s="147">
        <f t="shared" si="6"/>
        <v>4.1020966271649861E-3</v>
      </c>
      <c r="M57" s="146">
        <v>2100</v>
      </c>
      <c r="N57" s="147">
        <f t="shared" si="5"/>
        <v>-4.6754425783023135E-2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815</v>
      </c>
      <c r="F58" s="147" t="str">
        <f t="shared" si="6"/>
        <v>-</v>
      </c>
      <c r="G58" s="146">
        <v>1729</v>
      </c>
      <c r="H58" s="147">
        <f t="shared" si="6"/>
        <v>1.121472392638037</v>
      </c>
      <c r="I58" s="146">
        <v>2466</v>
      </c>
      <c r="J58" s="147">
        <f t="shared" si="6"/>
        <v>0.42625795257374199</v>
      </c>
      <c r="K58" s="146">
        <v>2292</v>
      </c>
      <c r="L58" s="147">
        <f t="shared" si="6"/>
        <v>-7.0559610705596132E-2</v>
      </c>
      <c r="M58" s="146">
        <v>2095</v>
      </c>
      <c r="N58" s="147">
        <f t="shared" si="5"/>
        <v>-8.5951134380453764E-2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994</v>
      </c>
      <c r="F59" s="147" t="str">
        <f t="shared" si="6"/>
        <v>-</v>
      </c>
      <c r="G59" s="146">
        <v>1593</v>
      </c>
      <c r="H59" s="147">
        <f t="shared" si="6"/>
        <v>0.60261569416498983</v>
      </c>
      <c r="I59" s="146">
        <v>1977</v>
      </c>
      <c r="J59" s="147">
        <f t="shared" si="6"/>
        <v>0.24105461393596994</v>
      </c>
      <c r="K59" s="146">
        <v>1831</v>
      </c>
      <c r="L59" s="147">
        <f t="shared" si="6"/>
        <v>-7.384926656550328E-2</v>
      </c>
      <c r="M59" s="146">
        <v>1628</v>
      </c>
      <c r="N59" s="147">
        <f t="shared" si="5"/>
        <v>-0.11086837793555437</v>
      </c>
    </row>
    <row r="60" spans="1:15" x14ac:dyDescent="0.25">
      <c r="A60" s="1">
        <v>8</v>
      </c>
      <c r="B60" s="145" t="s">
        <v>87</v>
      </c>
      <c r="C60" s="146">
        <v>1123</v>
      </c>
      <c r="D60" s="147">
        <v>-0.20467422096317278</v>
      </c>
      <c r="E60" s="146">
        <v>1181</v>
      </c>
      <c r="F60" s="147">
        <f t="shared" si="6"/>
        <v>5.1647373107747141E-2</v>
      </c>
      <c r="G60" s="146">
        <v>1587</v>
      </c>
      <c r="H60" s="147">
        <f t="shared" si="6"/>
        <v>0.34377646062658762</v>
      </c>
      <c r="I60" s="146">
        <v>1933</v>
      </c>
      <c r="J60" s="147">
        <f t="shared" si="6"/>
        <v>0.21802142407057334</v>
      </c>
      <c r="K60" s="146">
        <v>1542</v>
      </c>
      <c r="L60" s="147">
        <f t="shared" si="6"/>
        <v>-0.20227625452664255</v>
      </c>
      <c r="M60" s="146">
        <v>1342</v>
      </c>
      <c r="N60" s="147">
        <f t="shared" si="5"/>
        <v>-0.12970168612191957</v>
      </c>
    </row>
    <row r="61" spans="1:15" x14ac:dyDescent="0.25">
      <c r="A61" s="1">
        <v>9</v>
      </c>
      <c r="B61" s="145" t="s">
        <v>89</v>
      </c>
      <c r="C61" s="146">
        <v>763</v>
      </c>
      <c r="D61" s="147">
        <v>-0.45186781609195403</v>
      </c>
      <c r="E61" s="146">
        <v>1604</v>
      </c>
      <c r="F61" s="147">
        <f t="shared" si="6"/>
        <v>1.1022280471821757</v>
      </c>
      <c r="G61" s="146">
        <v>1832</v>
      </c>
      <c r="H61" s="147">
        <f t="shared" si="6"/>
        <v>0.14214463840398994</v>
      </c>
      <c r="I61" s="146">
        <v>2450</v>
      </c>
      <c r="J61" s="147">
        <f t="shared" si="6"/>
        <v>0.3373362445414847</v>
      </c>
      <c r="K61" s="146">
        <v>2346</v>
      </c>
      <c r="L61" s="147">
        <f t="shared" si="6"/>
        <v>-4.2448979591836689E-2</v>
      </c>
      <c r="M61" s="146">
        <v>2156</v>
      </c>
      <c r="N61" s="147">
        <f t="shared" si="5"/>
        <v>-8.0988917306052843E-2</v>
      </c>
    </row>
    <row r="62" spans="1:15" x14ac:dyDescent="0.25">
      <c r="A62" s="1">
        <v>10</v>
      </c>
      <c r="B62" s="145" t="s">
        <v>91</v>
      </c>
      <c r="C62" s="146">
        <v>792</v>
      </c>
      <c r="D62" s="147">
        <v>-0.46232179226069248</v>
      </c>
      <c r="E62" s="146">
        <v>930</v>
      </c>
      <c r="F62" s="147">
        <f t="shared" si="6"/>
        <v>0.17424242424242431</v>
      </c>
      <c r="G62" s="146">
        <v>1484</v>
      </c>
      <c r="H62" s="147">
        <f t="shared" si="6"/>
        <v>0.5956989247311828</v>
      </c>
      <c r="I62" s="146">
        <v>2164</v>
      </c>
      <c r="J62" s="147">
        <f t="shared" si="6"/>
        <v>0.4582210242587601</v>
      </c>
      <c r="K62" s="146">
        <v>2197</v>
      </c>
      <c r="L62" s="147">
        <f t="shared" si="6"/>
        <v>1.5249537892791043E-2</v>
      </c>
      <c r="M62" s="146">
        <v>2204</v>
      </c>
      <c r="N62" s="147">
        <f t="shared" si="5"/>
        <v>3.1861629494764898E-3</v>
      </c>
    </row>
    <row r="63" spans="1:15" x14ac:dyDescent="0.25">
      <c r="A63" s="1">
        <v>11</v>
      </c>
      <c r="B63" s="145" t="s">
        <v>93</v>
      </c>
      <c r="C63" s="146">
        <v>488</v>
      </c>
      <c r="D63" s="147">
        <v>-0.72002294893861163</v>
      </c>
      <c r="E63" s="146">
        <v>1380</v>
      </c>
      <c r="F63" s="147">
        <f t="shared" si="6"/>
        <v>1.8278688524590163</v>
      </c>
      <c r="G63" s="146">
        <v>1596</v>
      </c>
      <c r="H63" s="147">
        <f t="shared" si="6"/>
        <v>0.15652173913043477</v>
      </c>
      <c r="I63" s="146">
        <v>1784</v>
      </c>
      <c r="J63" s="147">
        <f t="shared" si="6"/>
        <v>0.1177944862155389</v>
      </c>
      <c r="K63" s="146">
        <v>2044</v>
      </c>
      <c r="L63" s="147">
        <f t="shared" si="6"/>
        <v>0.14573991031390143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371</v>
      </c>
      <c r="D64" s="147">
        <v>-0.73537803138373747</v>
      </c>
      <c r="E64" s="146">
        <v>1477</v>
      </c>
      <c r="F64" s="147">
        <f t="shared" si="6"/>
        <v>2.9811320754716979</v>
      </c>
      <c r="G64" s="146">
        <v>1545</v>
      </c>
      <c r="H64" s="147">
        <f t="shared" si="6"/>
        <v>4.6039268788083954E-2</v>
      </c>
      <c r="I64" s="146">
        <v>1425</v>
      </c>
      <c r="J64" s="147">
        <f t="shared" si="6"/>
        <v>-7.7669902912621325E-2</v>
      </c>
      <c r="K64" s="146">
        <v>1752</v>
      </c>
      <c r="L64" s="147">
        <f t="shared" si="6"/>
        <v>0.22947368421052627</v>
      </c>
      <c r="M64" s="146"/>
      <c r="N64" s="147"/>
    </row>
    <row r="65" spans="1:15" ht="15.75" x14ac:dyDescent="0.25">
      <c r="B65" s="148" t="s">
        <v>32</v>
      </c>
      <c r="C65" s="149">
        <v>7339</v>
      </c>
      <c r="D65" s="150">
        <v>-0.59150617833685848</v>
      </c>
      <c r="E65" s="149">
        <v>10731</v>
      </c>
      <c r="F65" s="150">
        <f t="shared" si="6"/>
        <v>0.46218830903392827</v>
      </c>
      <c r="G65" s="149">
        <v>17520</v>
      </c>
      <c r="H65" s="150">
        <f t="shared" si="6"/>
        <v>0.63265306122448983</v>
      </c>
      <c r="I65" s="149">
        <v>25698</v>
      </c>
      <c r="J65" s="150">
        <f t="shared" si="6"/>
        <v>0.46678082191780823</v>
      </c>
      <c r="K65" s="149">
        <v>23944</v>
      </c>
      <c r="L65" s="150">
        <f t="shared" si="6"/>
        <v>-6.8254338859055186E-2</v>
      </c>
      <c r="M65" s="149">
        <v>18580</v>
      </c>
      <c r="N65" s="150">
        <v>-7.7824101647806287E-2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1:15" x14ac:dyDescent="0.25">
      <c r="C68" s="151"/>
    </row>
    <row r="70" spans="1:15" ht="48.75" customHeight="1" thickBot="1" x14ac:dyDescent="0.3">
      <c r="B70" s="12" t="s">
        <v>242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105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C$7</f>
        <v>2020</v>
      </c>
      <c r="D73" s="139"/>
      <c r="E73" s="138">
        <f>E$7</f>
        <v>2021</v>
      </c>
      <c r="F73" s="139"/>
      <c r="G73" s="138">
        <f>G$7</f>
        <v>2022</v>
      </c>
      <c r="H73" s="139"/>
      <c r="I73" s="138">
        <f>I$7</f>
        <v>2023</v>
      </c>
      <c r="J73" s="139"/>
      <c r="K73" s="138">
        <f>K$7</f>
        <v>2024</v>
      </c>
      <c r="L73" s="139"/>
      <c r="M73" s="138">
        <f>M$7</f>
        <v>2025</v>
      </c>
      <c r="N73" s="139"/>
    </row>
    <row r="74" spans="1:15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",RIGHT(E73,2),"/",RIGHT(E73-1,2))</f>
        <v>var 21/20</v>
      </c>
      <c r="G74" s="144" t="s">
        <v>71</v>
      </c>
      <c r="H74" s="143" t="str">
        <f>CONCATENATE("var ",RIGHT(G73,2),"/",RIGHT(G73-1,2))</f>
        <v>var 22/21</v>
      </c>
      <c r="I74" s="144" t="s">
        <v>71</v>
      </c>
      <c r="J74" s="143" t="str">
        <f>CONCATENATE("var ",RIGHT(I73,2),"/",RIGHT(I73-1,2))</f>
        <v>var 23/22</v>
      </c>
      <c r="K74" s="144" t="s">
        <v>71</v>
      </c>
      <c r="L74" s="143" t="str">
        <f>CONCATENATE("var ",RIGHT(K73,2),"/",RIGHT(K73-1,2))</f>
        <v>var 24/23</v>
      </c>
      <c r="M74" s="144" t="s">
        <v>71</v>
      </c>
      <c r="N74" s="143" t="str">
        <f>CONCATENATE("var ",RIGHT(M73,2),"/",RIGHT(M73-1,2))</f>
        <v>var 25/24</v>
      </c>
    </row>
    <row r="75" spans="1:15" x14ac:dyDescent="0.25">
      <c r="A75" s="1">
        <v>1</v>
      </c>
      <c r="B75" s="145" t="s">
        <v>73</v>
      </c>
      <c r="C75" s="146">
        <v>1851</v>
      </c>
      <c r="D75" s="147">
        <v>0.32025677603423675</v>
      </c>
      <c r="E75" s="146">
        <v>279</v>
      </c>
      <c r="F75" s="147">
        <f>IFERROR(E75/C75-1,"-")</f>
        <v>-0.84927066450567257</v>
      </c>
      <c r="G75" s="146">
        <v>734</v>
      </c>
      <c r="H75" s="147">
        <f>IFERROR(G75/E75-1,"-")</f>
        <v>1.6308243727598568</v>
      </c>
      <c r="I75" s="146">
        <v>1485</v>
      </c>
      <c r="J75" s="147">
        <f>IFERROR(I75/G75-1,"-")</f>
        <v>1.0231607629427795</v>
      </c>
      <c r="K75" s="146">
        <v>732</v>
      </c>
      <c r="L75" s="147">
        <f>IFERROR(K75/I75-1,"-")</f>
        <v>-0.50707070707070701</v>
      </c>
      <c r="M75" s="146">
        <v>900</v>
      </c>
      <c r="N75" s="147">
        <f t="shared" ref="N75:N84" si="7">IFERROR(M75/K75-1,"-")</f>
        <v>0.22950819672131151</v>
      </c>
    </row>
    <row r="76" spans="1:15" x14ac:dyDescent="0.25">
      <c r="A76" s="1">
        <v>2</v>
      </c>
      <c r="B76" s="145" t="s">
        <v>75</v>
      </c>
      <c r="C76" s="146">
        <v>1674</v>
      </c>
      <c r="D76" s="147">
        <v>0.16817864619679002</v>
      </c>
      <c r="E76" s="146">
        <v>461</v>
      </c>
      <c r="F76" s="147">
        <f t="shared" ref="F76:L87" si="8">IFERROR(E76/C76-1,"-")</f>
        <v>-0.7246117084826762</v>
      </c>
      <c r="G76" s="146">
        <v>1122</v>
      </c>
      <c r="H76" s="147">
        <f t="shared" si="8"/>
        <v>1.4338394793926246</v>
      </c>
      <c r="I76" s="146">
        <v>489</v>
      </c>
      <c r="J76" s="147">
        <f t="shared" si="8"/>
        <v>-0.56417112299465244</v>
      </c>
      <c r="K76" s="146">
        <v>315</v>
      </c>
      <c r="L76" s="147">
        <f t="shared" si="8"/>
        <v>-0.35582822085889576</v>
      </c>
      <c r="M76" s="146">
        <v>389</v>
      </c>
      <c r="N76" s="147">
        <f t="shared" si="7"/>
        <v>0.23492063492063497</v>
      </c>
    </row>
    <row r="77" spans="1:15" x14ac:dyDescent="0.25">
      <c r="A77" s="1">
        <v>3</v>
      </c>
      <c r="B77" s="145" t="s">
        <v>77</v>
      </c>
      <c r="C77" s="146">
        <v>714</v>
      </c>
      <c r="D77" s="147">
        <v>-0.48927038626609443</v>
      </c>
      <c r="E77" s="146">
        <v>868</v>
      </c>
      <c r="F77" s="147">
        <f t="shared" si="8"/>
        <v>0.21568627450980382</v>
      </c>
      <c r="G77" s="146">
        <v>1378</v>
      </c>
      <c r="H77" s="147">
        <f t="shared" si="8"/>
        <v>0.5875576036866359</v>
      </c>
      <c r="I77" s="146">
        <v>627</v>
      </c>
      <c r="J77" s="147">
        <f t="shared" si="8"/>
        <v>-0.54499274310595069</v>
      </c>
      <c r="K77" s="146">
        <v>749</v>
      </c>
      <c r="L77" s="147">
        <f t="shared" si="8"/>
        <v>0.19457735247208929</v>
      </c>
      <c r="M77" s="146">
        <v>836</v>
      </c>
      <c r="N77" s="147">
        <f t="shared" si="7"/>
        <v>0.11615487316421902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500</v>
      </c>
      <c r="F78" s="147" t="str">
        <f t="shared" si="8"/>
        <v>-</v>
      </c>
      <c r="G78" s="146">
        <v>1381</v>
      </c>
      <c r="H78" s="147">
        <f t="shared" si="8"/>
        <v>1.762</v>
      </c>
      <c r="I78" s="146">
        <v>1179</v>
      </c>
      <c r="J78" s="147">
        <f t="shared" si="8"/>
        <v>-0.14627081824764665</v>
      </c>
      <c r="K78" s="146">
        <v>719</v>
      </c>
      <c r="L78" s="147">
        <f t="shared" si="8"/>
        <v>-0.39016115351993219</v>
      </c>
      <c r="M78" s="146">
        <v>830</v>
      </c>
      <c r="N78" s="147">
        <f t="shared" si="7"/>
        <v>0.15438108484005553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1045</v>
      </c>
      <c r="F79" s="147" t="str">
        <f t="shared" si="8"/>
        <v>-</v>
      </c>
      <c r="G79" s="146">
        <v>1034</v>
      </c>
      <c r="H79" s="147">
        <f t="shared" si="8"/>
        <v>-1.0526315789473717E-2</v>
      </c>
      <c r="I79" s="146">
        <v>1357</v>
      </c>
      <c r="J79" s="147">
        <f t="shared" si="8"/>
        <v>0.3123791102514506</v>
      </c>
      <c r="K79" s="146">
        <v>1433</v>
      </c>
      <c r="L79" s="147">
        <f t="shared" si="8"/>
        <v>5.6005895357406077E-2</v>
      </c>
      <c r="M79" s="146">
        <v>1417</v>
      </c>
      <c r="N79" s="147">
        <f t="shared" si="7"/>
        <v>-1.1165387299371998E-2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1100</v>
      </c>
      <c r="F80" s="147" t="str">
        <f t="shared" si="8"/>
        <v>-</v>
      </c>
      <c r="G80" s="146">
        <v>1851</v>
      </c>
      <c r="H80" s="147">
        <f t="shared" si="8"/>
        <v>0.68272727272727263</v>
      </c>
      <c r="I80" s="146">
        <v>818</v>
      </c>
      <c r="J80" s="147">
        <f t="shared" si="8"/>
        <v>-0.55807671528903291</v>
      </c>
      <c r="K80" s="146">
        <v>716</v>
      </c>
      <c r="L80" s="147">
        <f t="shared" si="8"/>
        <v>-0.12469437652811732</v>
      </c>
      <c r="M80" s="146">
        <v>1022</v>
      </c>
      <c r="N80" s="147">
        <f t="shared" si="7"/>
        <v>0.42737430167597767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630</v>
      </c>
      <c r="F81" s="147" t="str">
        <f t="shared" si="8"/>
        <v>-</v>
      </c>
      <c r="G81" s="146">
        <v>1707</v>
      </c>
      <c r="H81" s="147">
        <f t="shared" si="8"/>
        <v>1.7095238095238097</v>
      </c>
      <c r="I81" s="146">
        <v>1209</v>
      </c>
      <c r="J81" s="147">
        <f t="shared" si="8"/>
        <v>-0.29173989455184535</v>
      </c>
      <c r="K81" s="146">
        <v>1616</v>
      </c>
      <c r="L81" s="147">
        <f t="shared" si="8"/>
        <v>0.33664185277088499</v>
      </c>
      <c r="M81" s="146">
        <v>818</v>
      </c>
      <c r="N81" s="147">
        <f t="shared" si="7"/>
        <v>-0.49381188118811881</v>
      </c>
    </row>
    <row r="82" spans="1:15" x14ac:dyDescent="0.25">
      <c r="A82" s="1">
        <v>8</v>
      </c>
      <c r="B82" s="145" t="s">
        <v>87</v>
      </c>
      <c r="C82" s="146">
        <v>1012</v>
      </c>
      <c r="D82" s="147">
        <v>-0.39146121467227901</v>
      </c>
      <c r="E82" s="146">
        <v>631</v>
      </c>
      <c r="F82" s="147">
        <f t="shared" si="8"/>
        <v>-0.37648221343873522</v>
      </c>
      <c r="G82" s="146">
        <v>1007</v>
      </c>
      <c r="H82" s="147">
        <f t="shared" si="8"/>
        <v>0.59587955625990485</v>
      </c>
      <c r="I82" s="146">
        <v>1439</v>
      </c>
      <c r="J82" s="147">
        <f t="shared" si="8"/>
        <v>0.42899702085402192</v>
      </c>
      <c r="K82" s="146">
        <v>176</v>
      </c>
      <c r="L82" s="147">
        <f t="shared" si="8"/>
        <v>-0.87769284225156363</v>
      </c>
      <c r="M82" s="146">
        <v>1606</v>
      </c>
      <c r="N82" s="147">
        <f t="shared" si="7"/>
        <v>8.125</v>
      </c>
    </row>
    <row r="83" spans="1:15" x14ac:dyDescent="0.25">
      <c r="A83" s="1">
        <v>9</v>
      </c>
      <c r="B83" s="145" t="s">
        <v>89</v>
      </c>
      <c r="C83" s="146">
        <v>679</v>
      </c>
      <c r="D83" s="147">
        <v>-0.52014134275618373</v>
      </c>
      <c r="E83" s="146">
        <v>1500</v>
      </c>
      <c r="F83" s="147">
        <f t="shared" si="8"/>
        <v>1.2091310751104567</v>
      </c>
      <c r="G83" s="146">
        <v>1677</v>
      </c>
      <c r="H83" s="147">
        <f t="shared" si="8"/>
        <v>0.1180000000000001</v>
      </c>
      <c r="I83" s="146">
        <v>932</v>
      </c>
      <c r="J83" s="147">
        <f t="shared" si="8"/>
        <v>-0.44424567680381633</v>
      </c>
      <c r="K83" s="146">
        <v>1746</v>
      </c>
      <c r="L83" s="147">
        <f t="shared" si="8"/>
        <v>0.87339055793991416</v>
      </c>
      <c r="M83" s="146">
        <v>1071</v>
      </c>
      <c r="N83" s="147">
        <f t="shared" si="7"/>
        <v>-0.38659793814432986</v>
      </c>
    </row>
    <row r="84" spans="1:15" x14ac:dyDescent="0.25">
      <c r="A84" s="1">
        <v>10</v>
      </c>
      <c r="B84" s="145" t="s">
        <v>91</v>
      </c>
      <c r="C84" s="146">
        <v>559</v>
      </c>
      <c r="D84" s="147">
        <v>-0.66466706658668273</v>
      </c>
      <c r="E84" s="146">
        <v>1197</v>
      </c>
      <c r="F84" s="147">
        <f t="shared" si="8"/>
        <v>1.1413237924865833</v>
      </c>
      <c r="G84" s="146">
        <v>1024</v>
      </c>
      <c r="H84" s="147">
        <f t="shared" si="8"/>
        <v>-0.14452798663324984</v>
      </c>
      <c r="I84" s="146">
        <v>661</v>
      </c>
      <c r="J84" s="147">
        <f t="shared" si="8"/>
        <v>-0.3544921875</v>
      </c>
      <c r="K84" s="146">
        <v>965</v>
      </c>
      <c r="L84" s="147">
        <f t="shared" si="8"/>
        <v>0.45990922844175497</v>
      </c>
      <c r="M84" s="146">
        <v>2021</v>
      </c>
      <c r="N84" s="147">
        <f t="shared" si="7"/>
        <v>1.0943005181347152</v>
      </c>
    </row>
    <row r="85" spans="1:15" x14ac:dyDescent="0.25">
      <c r="A85" s="1">
        <v>11</v>
      </c>
      <c r="B85" s="145" t="s">
        <v>93</v>
      </c>
      <c r="C85" s="146">
        <v>768</v>
      </c>
      <c r="D85" s="147">
        <v>-0.61599999999999999</v>
      </c>
      <c r="E85" s="146">
        <v>1314</v>
      </c>
      <c r="F85" s="147">
        <f t="shared" si="8"/>
        <v>0.7109375</v>
      </c>
      <c r="G85" s="146">
        <v>1560</v>
      </c>
      <c r="H85" s="147">
        <f t="shared" si="8"/>
        <v>0.18721461187214605</v>
      </c>
      <c r="I85" s="146">
        <v>671</v>
      </c>
      <c r="J85" s="147">
        <f t="shared" si="8"/>
        <v>-0.56987179487179485</v>
      </c>
      <c r="K85" s="146">
        <v>1240</v>
      </c>
      <c r="L85" s="147">
        <f t="shared" si="8"/>
        <v>0.84798807749627425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768</v>
      </c>
      <c r="D86" s="147">
        <v>-0.70186335403726707</v>
      </c>
      <c r="E86" s="146">
        <v>1476</v>
      </c>
      <c r="F86" s="147">
        <f t="shared" si="8"/>
        <v>0.921875</v>
      </c>
      <c r="G86" s="146">
        <v>1814</v>
      </c>
      <c r="H86" s="147">
        <f t="shared" si="8"/>
        <v>0.22899728997289981</v>
      </c>
      <c r="I86" s="146">
        <v>1157</v>
      </c>
      <c r="J86" s="147">
        <f t="shared" si="8"/>
        <v>-0.36218302094818078</v>
      </c>
      <c r="K86" s="146">
        <v>1470</v>
      </c>
      <c r="L86" s="147">
        <f t="shared" si="8"/>
        <v>0.27052722558340525</v>
      </c>
      <c r="M86" s="146"/>
      <c r="N86" s="147"/>
    </row>
    <row r="87" spans="1:15" ht="15.75" x14ac:dyDescent="0.25">
      <c r="B87" s="148" t="s">
        <v>32</v>
      </c>
      <c r="C87" s="149">
        <v>8684</v>
      </c>
      <c r="D87" s="150">
        <v>-0.54659844410797265</v>
      </c>
      <c r="E87" s="149">
        <v>11001</v>
      </c>
      <c r="F87" s="150">
        <f t="shared" si="8"/>
        <v>0.26681252878857675</v>
      </c>
      <c r="G87" s="149">
        <v>16289</v>
      </c>
      <c r="H87" s="150">
        <f t="shared" si="8"/>
        <v>0.48068357422052532</v>
      </c>
      <c r="I87" s="149">
        <v>12024</v>
      </c>
      <c r="J87" s="150">
        <f t="shared" si="8"/>
        <v>-0.261833138928111</v>
      </c>
      <c r="K87" s="149">
        <v>11877</v>
      </c>
      <c r="L87" s="150">
        <f t="shared" si="8"/>
        <v>-1.2225548902195627E-2</v>
      </c>
      <c r="M87" s="149">
        <v>10910</v>
      </c>
      <c r="N87" s="150">
        <v>0.19013854041671219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0" spans="1:15" x14ac:dyDescent="0.25">
      <c r="C90" s="151"/>
    </row>
    <row r="92" spans="1:15" ht="48.75" customHeight="1" thickBot="1" x14ac:dyDescent="0.3">
      <c r="B92" s="12" t="s">
        <v>243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107</v>
      </c>
    </row>
    <row r="94" spans="1:15" ht="22.5" thickTop="1" thickBot="1" x14ac:dyDescent="0.3">
      <c r="B94" s="152" t="s">
        <v>108</v>
      </c>
      <c r="C94" s="135" t="s">
        <v>109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C$7</f>
        <v>2020</v>
      </c>
      <c r="D95" s="139"/>
      <c r="E95" s="138">
        <f>E$7</f>
        <v>2021</v>
      </c>
      <c r="F95" s="139"/>
      <c r="G95" s="138">
        <f>G$7</f>
        <v>2022</v>
      </c>
      <c r="H95" s="139"/>
      <c r="I95" s="138">
        <f>I$7</f>
        <v>2023</v>
      </c>
      <c r="J95" s="139"/>
      <c r="K95" s="138">
        <f>K$7</f>
        <v>2024</v>
      </c>
      <c r="L95" s="139"/>
      <c r="M95" s="138">
        <f>M$7</f>
        <v>2025</v>
      </c>
      <c r="N95" s="139"/>
    </row>
    <row r="96" spans="1:15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",RIGHT(E95,2),"/",RIGHT(E95-1,2))</f>
        <v>var 21/20</v>
      </c>
      <c r="G96" s="144" t="s">
        <v>71</v>
      </c>
      <c r="H96" s="143" t="str">
        <f>CONCATENATE("var ",RIGHT(G95,2),"/",RIGHT(G95-1,2))</f>
        <v>var 22/21</v>
      </c>
      <c r="I96" s="144" t="s">
        <v>71</v>
      </c>
      <c r="J96" s="143" t="str">
        <f>CONCATENATE("var ",RIGHT(I95,2),"/",RIGHT(I95-1,2))</f>
        <v>var 23/22</v>
      </c>
      <c r="K96" s="144" t="s">
        <v>71</v>
      </c>
      <c r="L96" s="143" t="str">
        <f>CONCATENATE("var ",RIGHT(K95,2),"/",RIGHT(K95-1,2))</f>
        <v>var 24/23</v>
      </c>
      <c r="M96" s="144" t="s">
        <v>71</v>
      </c>
      <c r="N96" s="143" t="str">
        <f>CONCATENATE("var ",RIGHT(M95,2),"/",RIGHT(M95-1,2))</f>
        <v>var 25/24</v>
      </c>
    </row>
    <row r="97" spans="2:14" x14ac:dyDescent="0.25">
      <c r="B97" s="145" t="s">
        <v>73</v>
      </c>
      <c r="C97" s="146">
        <v>2138</v>
      </c>
      <c r="D97" s="147">
        <v>6.3152660367976177E-2</v>
      </c>
      <c r="E97" s="146">
        <v>564</v>
      </c>
      <c r="F97" s="147">
        <f t="shared" ref="F97:L109" si="9">IFERROR(E97/C97-1,"-")</f>
        <v>-0.7362020579981291</v>
      </c>
      <c r="G97" s="146">
        <v>1754</v>
      </c>
      <c r="H97" s="147">
        <f t="shared" si="9"/>
        <v>2.1099290780141846</v>
      </c>
      <c r="I97" s="146">
        <v>2348</v>
      </c>
      <c r="J97" s="147">
        <f t="shared" si="9"/>
        <v>0.33865450399087793</v>
      </c>
      <c r="K97" s="146">
        <v>3040</v>
      </c>
      <c r="L97" s="147">
        <f t="shared" si="9"/>
        <v>0.29471890971039172</v>
      </c>
      <c r="M97" s="146">
        <v>2659</v>
      </c>
      <c r="N97" s="147">
        <f t="shared" ref="N97:N106" si="10">IFERROR(M97/K97-1,"-")</f>
        <v>-0.12532894736842104</v>
      </c>
    </row>
    <row r="98" spans="2:14" x14ac:dyDescent="0.25">
      <c r="B98" s="145" t="s">
        <v>75</v>
      </c>
      <c r="C98" s="146">
        <v>2298</v>
      </c>
      <c r="D98" s="147">
        <v>0.12979351032448383</v>
      </c>
      <c r="E98" s="146">
        <v>586</v>
      </c>
      <c r="F98" s="147">
        <f t="shared" si="9"/>
        <v>-0.74499564838990429</v>
      </c>
      <c r="G98" s="146">
        <v>1924</v>
      </c>
      <c r="H98" s="147">
        <f t="shared" si="9"/>
        <v>2.2832764505119454</v>
      </c>
      <c r="I98" s="146">
        <v>2169</v>
      </c>
      <c r="J98" s="147">
        <f t="shared" si="9"/>
        <v>0.12733887733887728</v>
      </c>
      <c r="K98" s="146">
        <v>2636</v>
      </c>
      <c r="L98" s="147">
        <f t="shared" si="9"/>
        <v>0.2153065928999538</v>
      </c>
      <c r="M98" s="146">
        <v>2434</v>
      </c>
      <c r="N98" s="147">
        <f t="shared" si="10"/>
        <v>-7.6631259484066794E-2</v>
      </c>
    </row>
    <row r="99" spans="2:14" x14ac:dyDescent="0.25">
      <c r="B99" s="145" t="s">
        <v>77</v>
      </c>
      <c r="C99" s="146">
        <v>864</v>
      </c>
      <c r="D99" s="147">
        <v>-0.60239300506212612</v>
      </c>
      <c r="E99" s="146">
        <v>920</v>
      </c>
      <c r="F99" s="147">
        <f t="shared" si="9"/>
        <v>6.4814814814814881E-2</v>
      </c>
      <c r="G99" s="146">
        <v>2063</v>
      </c>
      <c r="H99" s="147">
        <f t="shared" si="9"/>
        <v>1.2423913043478261</v>
      </c>
      <c r="I99" s="146">
        <v>2238</v>
      </c>
      <c r="J99" s="147">
        <f t="shared" si="9"/>
        <v>8.4827920504120247E-2</v>
      </c>
      <c r="K99" s="146">
        <v>2536</v>
      </c>
      <c r="L99" s="147">
        <f t="shared" si="9"/>
        <v>0.13315460232350307</v>
      </c>
      <c r="M99" s="146">
        <v>2579</v>
      </c>
      <c r="N99" s="147">
        <f t="shared" si="10"/>
        <v>1.6955835962145116E-2</v>
      </c>
    </row>
    <row r="100" spans="2:14" x14ac:dyDescent="0.25">
      <c r="B100" s="145" t="s">
        <v>79</v>
      </c>
      <c r="C100" s="146">
        <v>0</v>
      </c>
      <c r="D100" s="147">
        <v>-1</v>
      </c>
      <c r="E100" s="146">
        <v>807</v>
      </c>
      <c r="F100" s="147" t="str">
        <f t="shared" si="9"/>
        <v>-</v>
      </c>
      <c r="G100" s="146">
        <v>1446</v>
      </c>
      <c r="H100" s="147">
        <f t="shared" si="9"/>
        <v>0.79182156133828996</v>
      </c>
      <c r="I100" s="146">
        <v>1649</v>
      </c>
      <c r="J100" s="147">
        <f t="shared" si="9"/>
        <v>0.14038727524204697</v>
      </c>
      <c r="K100" s="146">
        <v>1778</v>
      </c>
      <c r="L100" s="147">
        <f t="shared" si="9"/>
        <v>7.8229229836264347E-2</v>
      </c>
      <c r="M100" s="146">
        <v>1473</v>
      </c>
      <c r="N100" s="147">
        <f t="shared" si="10"/>
        <v>-0.17154105736782899</v>
      </c>
    </row>
    <row r="101" spans="2:14" x14ac:dyDescent="0.25">
      <c r="B101" s="145" t="s">
        <v>81</v>
      </c>
      <c r="C101" s="146">
        <v>0</v>
      </c>
      <c r="D101" s="147">
        <v>-1</v>
      </c>
      <c r="E101" s="146">
        <v>928</v>
      </c>
      <c r="F101" s="147" t="str">
        <f t="shared" si="9"/>
        <v>-</v>
      </c>
      <c r="G101" s="146">
        <v>1161</v>
      </c>
      <c r="H101" s="147">
        <f t="shared" si="9"/>
        <v>0.25107758620689657</v>
      </c>
      <c r="I101" s="146">
        <v>1462</v>
      </c>
      <c r="J101" s="147">
        <f t="shared" si="9"/>
        <v>0.2592592592592593</v>
      </c>
      <c r="K101" s="146">
        <v>1356</v>
      </c>
      <c r="L101" s="147">
        <f t="shared" si="9"/>
        <v>-7.2503419972640204E-2</v>
      </c>
      <c r="M101" s="146">
        <v>1481</v>
      </c>
      <c r="N101" s="147">
        <f t="shared" si="10"/>
        <v>9.2182890855457167E-2</v>
      </c>
    </row>
    <row r="102" spans="2:14" x14ac:dyDescent="0.25">
      <c r="B102" s="145" t="s">
        <v>83</v>
      </c>
      <c r="C102" s="146">
        <v>0</v>
      </c>
      <c r="D102" s="147">
        <v>-1</v>
      </c>
      <c r="E102" s="146">
        <v>579</v>
      </c>
      <c r="F102" s="147" t="str">
        <f t="shared" si="9"/>
        <v>-</v>
      </c>
      <c r="G102" s="146">
        <v>940</v>
      </c>
      <c r="H102" s="147">
        <f t="shared" si="9"/>
        <v>0.62348877374784117</v>
      </c>
      <c r="I102" s="146">
        <v>897</v>
      </c>
      <c r="J102" s="147">
        <f t="shared" si="9"/>
        <v>-4.5744680851063868E-2</v>
      </c>
      <c r="K102" s="146">
        <v>956</v>
      </c>
      <c r="L102" s="147">
        <f t="shared" si="9"/>
        <v>6.5774804905239792E-2</v>
      </c>
      <c r="M102" s="146">
        <v>1002</v>
      </c>
      <c r="N102" s="147">
        <f t="shared" si="10"/>
        <v>4.8117154811715412E-2</v>
      </c>
    </row>
    <row r="103" spans="2:14" x14ac:dyDescent="0.25">
      <c r="B103" s="145" t="s">
        <v>85</v>
      </c>
      <c r="C103" s="146">
        <v>0</v>
      </c>
      <c r="D103" s="147">
        <v>-1</v>
      </c>
      <c r="E103" s="146">
        <v>804</v>
      </c>
      <c r="F103" s="147" t="str">
        <f t="shared" si="9"/>
        <v>-</v>
      </c>
      <c r="G103" s="146">
        <v>975</v>
      </c>
      <c r="H103" s="147">
        <f t="shared" si="9"/>
        <v>0.21268656716417911</v>
      </c>
      <c r="I103" s="146">
        <v>1154</v>
      </c>
      <c r="J103" s="147">
        <f t="shared" si="9"/>
        <v>0.18358974358974356</v>
      </c>
      <c r="K103" s="146">
        <v>1146</v>
      </c>
      <c r="L103" s="147">
        <f t="shared" si="9"/>
        <v>-6.9324090121317683E-3</v>
      </c>
      <c r="M103" s="146">
        <v>1191</v>
      </c>
      <c r="N103" s="147">
        <f t="shared" si="10"/>
        <v>3.9267015706806241E-2</v>
      </c>
    </row>
    <row r="104" spans="2:14" x14ac:dyDescent="0.25">
      <c r="B104" s="145" t="s">
        <v>87</v>
      </c>
      <c r="C104" s="146">
        <v>642</v>
      </c>
      <c r="D104" s="147">
        <v>-0.44076655052264813</v>
      </c>
      <c r="E104" s="146">
        <v>1117</v>
      </c>
      <c r="F104" s="147">
        <f t="shared" si="9"/>
        <v>0.7398753894080996</v>
      </c>
      <c r="G104" s="146">
        <v>1338</v>
      </c>
      <c r="H104" s="147">
        <f t="shared" si="9"/>
        <v>0.19785138764547905</v>
      </c>
      <c r="I104" s="146">
        <v>1273</v>
      </c>
      <c r="J104" s="147">
        <f t="shared" si="9"/>
        <v>-4.8579970104633774E-2</v>
      </c>
      <c r="K104" s="146">
        <v>1181</v>
      </c>
      <c r="L104" s="147">
        <f t="shared" si="9"/>
        <v>-7.2270227808326815E-2</v>
      </c>
      <c r="M104" s="146">
        <v>1169</v>
      </c>
      <c r="N104" s="147">
        <f t="shared" si="10"/>
        <v>-1.0160880609652811E-2</v>
      </c>
    </row>
    <row r="105" spans="2:14" x14ac:dyDescent="0.25">
      <c r="B105" s="145" t="s">
        <v>89</v>
      </c>
      <c r="C105" s="146">
        <v>322</v>
      </c>
      <c r="D105" s="147">
        <v>-0.6867704280155642</v>
      </c>
      <c r="E105" s="146">
        <v>810</v>
      </c>
      <c r="F105" s="147">
        <f t="shared" si="9"/>
        <v>1.5155279503105592</v>
      </c>
      <c r="G105" s="146">
        <v>1069</v>
      </c>
      <c r="H105" s="147">
        <f t="shared" si="9"/>
        <v>0.31975308641975309</v>
      </c>
      <c r="I105" s="146">
        <v>1139</v>
      </c>
      <c r="J105" s="147">
        <f t="shared" si="9"/>
        <v>6.5481758652946587E-2</v>
      </c>
      <c r="K105" s="146">
        <v>995</v>
      </c>
      <c r="L105" s="147">
        <f t="shared" si="9"/>
        <v>-0.12642669007901663</v>
      </c>
      <c r="M105" s="146">
        <v>1160</v>
      </c>
      <c r="N105" s="147">
        <f t="shared" si="10"/>
        <v>0.16582914572864316</v>
      </c>
    </row>
    <row r="106" spans="2:14" x14ac:dyDescent="0.25">
      <c r="B106" s="145" t="s">
        <v>91</v>
      </c>
      <c r="C106" s="146">
        <v>413</v>
      </c>
      <c r="D106" s="147">
        <v>-0.73129472999349376</v>
      </c>
      <c r="E106" s="146">
        <v>1253</v>
      </c>
      <c r="F106" s="147">
        <f t="shared" si="9"/>
        <v>2.0338983050847457</v>
      </c>
      <c r="G106" s="146">
        <v>1517</v>
      </c>
      <c r="H106" s="147">
        <f t="shared" si="9"/>
        <v>0.21069433359936163</v>
      </c>
      <c r="I106" s="146">
        <v>1594</v>
      </c>
      <c r="J106" s="147">
        <f t="shared" si="9"/>
        <v>5.0758075148318982E-2</v>
      </c>
      <c r="K106" s="146">
        <v>1757</v>
      </c>
      <c r="L106" s="147">
        <f t="shared" si="9"/>
        <v>0.10225846925972393</v>
      </c>
      <c r="M106" s="146">
        <v>1765</v>
      </c>
      <c r="N106" s="147">
        <f t="shared" si="10"/>
        <v>4.5532157085941272E-3</v>
      </c>
    </row>
    <row r="107" spans="2:14" x14ac:dyDescent="0.25">
      <c r="B107" s="145" t="s">
        <v>93</v>
      </c>
      <c r="C107" s="146">
        <v>507</v>
      </c>
      <c r="D107" s="147">
        <v>-0.77733860342555994</v>
      </c>
      <c r="E107" s="146">
        <v>1754</v>
      </c>
      <c r="F107" s="147">
        <f t="shared" si="9"/>
        <v>2.4595660749506902</v>
      </c>
      <c r="G107" s="146">
        <v>1682</v>
      </c>
      <c r="H107" s="147">
        <f t="shared" si="9"/>
        <v>-4.1049030786773133E-2</v>
      </c>
      <c r="I107" s="146">
        <v>2509</v>
      </c>
      <c r="J107" s="147">
        <f t="shared" si="9"/>
        <v>0.49167657550535071</v>
      </c>
      <c r="K107" s="146">
        <v>2180</v>
      </c>
      <c r="L107" s="147">
        <f t="shared" si="9"/>
        <v>-0.13112793941809486</v>
      </c>
      <c r="M107" s="146"/>
      <c r="N107" s="147"/>
    </row>
    <row r="108" spans="2:14" x14ac:dyDescent="0.25">
      <c r="B108" s="145" t="s">
        <v>95</v>
      </c>
      <c r="C108" s="146">
        <v>655</v>
      </c>
      <c r="D108" s="147">
        <v>-0.63387367244270543</v>
      </c>
      <c r="E108" s="146">
        <v>1590</v>
      </c>
      <c r="F108" s="147">
        <f t="shared" si="9"/>
        <v>1.4274809160305342</v>
      </c>
      <c r="G108" s="146">
        <v>1807</v>
      </c>
      <c r="H108" s="147">
        <f t="shared" si="9"/>
        <v>0.13647798742138373</v>
      </c>
      <c r="I108" s="146">
        <v>2003</v>
      </c>
      <c r="J108" s="147">
        <f t="shared" si="9"/>
        <v>0.10846707249584941</v>
      </c>
      <c r="K108" s="146">
        <v>2006</v>
      </c>
      <c r="L108" s="147">
        <f t="shared" si="9"/>
        <v>1.4977533699451762E-3</v>
      </c>
      <c r="M108" s="146"/>
      <c r="N108" s="147"/>
    </row>
    <row r="109" spans="2:14" ht="15.75" x14ac:dyDescent="0.25">
      <c r="B109" s="148" t="s">
        <v>32</v>
      </c>
      <c r="C109" s="149">
        <v>8198</v>
      </c>
      <c r="D109" s="150">
        <v>-0.56319266837169657</v>
      </c>
      <c r="E109" s="149">
        <v>11712</v>
      </c>
      <c r="F109" s="150">
        <f t="shared" si="9"/>
        <v>0.42864113198341069</v>
      </c>
      <c r="G109" s="149">
        <v>17676</v>
      </c>
      <c r="H109" s="150">
        <f t="shared" si="9"/>
        <v>0.50922131147540983</v>
      </c>
      <c r="I109" s="149">
        <v>20435</v>
      </c>
      <c r="J109" s="150">
        <f t="shared" si="9"/>
        <v>0.15608735007920349</v>
      </c>
      <c r="K109" s="149">
        <v>21567</v>
      </c>
      <c r="L109" s="150">
        <f t="shared" si="9"/>
        <v>5.539515537068751E-2</v>
      </c>
      <c r="M109" s="149">
        <v>16913</v>
      </c>
      <c r="N109" s="150">
        <v>-2.6925953627524257E-2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151"/>
    </row>
    <row r="114" spans="1:15" ht="48.75" customHeight="1" thickBot="1" x14ac:dyDescent="0.3">
      <c r="B114" s="12" t="s">
        <v>244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110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111</v>
      </c>
    </row>
    <row r="116" spans="1:15" ht="22.5" thickTop="1" thickBot="1" x14ac:dyDescent="0.3">
      <c r="B116" s="152" t="str">
        <f>C116</f>
        <v>Reino Unido</v>
      </c>
      <c r="C116" s="135" t="s">
        <v>112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f>C$7</f>
        <v>2020</v>
      </c>
      <c r="D117" s="139"/>
      <c r="E117" s="138">
        <f>E$7</f>
        <v>2021</v>
      </c>
      <c r="F117" s="139"/>
      <c r="G117" s="138">
        <f>G$7</f>
        <v>2022</v>
      </c>
      <c r="H117" s="139"/>
      <c r="I117" s="138">
        <f>I$7</f>
        <v>2023</v>
      </c>
      <c r="J117" s="139"/>
      <c r="K117" s="138">
        <f>K$7</f>
        <v>2024</v>
      </c>
      <c r="L117" s="139"/>
      <c r="M117" s="138">
        <f>M$7</f>
        <v>2025</v>
      </c>
      <c r="N117" s="139"/>
    </row>
    <row r="118" spans="1:15" ht="16.5" thickTop="1" thickBot="1" x14ac:dyDescent="0.3">
      <c r="B118" s="109"/>
      <c r="C118" s="142" t="s">
        <v>71</v>
      </c>
      <c r="D118" s="143" t="str">
        <f>CONCATENATE("var ",RIGHT(C117,2),"/",RIGHT(C117-1,2))</f>
        <v>var 20/19</v>
      </c>
      <c r="E118" s="144" t="s">
        <v>71</v>
      </c>
      <c r="F118" s="143" t="str">
        <f>CONCATENATE("var ",RIGHT(E117,2),"/",RIGHT(E117-1,2))</f>
        <v>var 21/20</v>
      </c>
      <c r="G118" s="144" t="s">
        <v>71</v>
      </c>
      <c r="H118" s="143" t="str">
        <f>CONCATENATE("var ",RIGHT(G117,2),"/",RIGHT(G117-1,2))</f>
        <v>var 22/21</v>
      </c>
      <c r="I118" s="144" t="s">
        <v>71</v>
      </c>
      <c r="J118" s="143" t="str">
        <f>CONCATENATE("var ",RIGHT(I117,2),"/",RIGHT(I117-1,2))</f>
        <v>var 23/22</v>
      </c>
      <c r="K118" s="144" t="s">
        <v>71</v>
      </c>
      <c r="L118" s="143" t="str">
        <f>CONCATENATE("var ",RIGHT(K117,2),"/",RIGHT(K117-1,2))</f>
        <v>var 24/23</v>
      </c>
      <c r="M118" s="144" t="s">
        <v>71</v>
      </c>
      <c r="N118" s="143" t="str">
        <f>CONCATENATE("var ",RIGHT(M117,2),"/",RIGHT(M117-1,2))</f>
        <v>var 25/24</v>
      </c>
    </row>
    <row r="119" spans="1:15" x14ac:dyDescent="0.25">
      <c r="B119" s="145" t="s">
        <v>73</v>
      </c>
      <c r="C119" s="146">
        <v>357</v>
      </c>
      <c r="D119" s="147">
        <v>6.25E-2</v>
      </c>
      <c r="E119" s="146">
        <v>24</v>
      </c>
      <c r="F119" s="147">
        <f t="shared" ref="F119:L131" si="11">IFERROR(E119/C119-1,"-")</f>
        <v>-0.9327731092436975</v>
      </c>
      <c r="G119" s="146">
        <v>277</v>
      </c>
      <c r="H119" s="147">
        <f t="shared" si="11"/>
        <v>10.541666666666666</v>
      </c>
      <c r="I119" s="146">
        <v>378</v>
      </c>
      <c r="J119" s="147">
        <f t="shared" si="11"/>
        <v>0.36462093862815892</v>
      </c>
      <c r="K119" s="146">
        <v>447</v>
      </c>
      <c r="L119" s="147">
        <f t="shared" si="11"/>
        <v>0.18253968253968256</v>
      </c>
      <c r="M119" s="146">
        <v>393</v>
      </c>
      <c r="N119" s="147">
        <f t="shared" ref="N119:N128" si="12">IFERROR(M119/K119-1,"-")</f>
        <v>-0.12080536912751683</v>
      </c>
    </row>
    <row r="120" spans="1:15" x14ac:dyDescent="0.25">
      <c r="B120" s="145" t="s">
        <v>75</v>
      </c>
      <c r="C120" s="146">
        <v>525</v>
      </c>
      <c r="D120" s="147">
        <v>0.37434554973821998</v>
      </c>
      <c r="E120" s="146">
        <v>25</v>
      </c>
      <c r="F120" s="147">
        <f t="shared" si="11"/>
        <v>-0.95238095238095233</v>
      </c>
      <c r="G120" s="146">
        <v>330</v>
      </c>
      <c r="H120" s="147">
        <f t="shared" si="11"/>
        <v>12.2</v>
      </c>
      <c r="I120" s="146">
        <v>411</v>
      </c>
      <c r="J120" s="147">
        <f t="shared" si="11"/>
        <v>0.24545454545454537</v>
      </c>
      <c r="K120" s="146">
        <v>472</v>
      </c>
      <c r="L120" s="147">
        <f t="shared" si="11"/>
        <v>0.14841849148418484</v>
      </c>
      <c r="M120" s="146">
        <v>478</v>
      </c>
      <c r="N120" s="147">
        <f t="shared" si="12"/>
        <v>1.2711864406779627E-2</v>
      </c>
    </row>
    <row r="121" spans="1:15" x14ac:dyDescent="0.25">
      <c r="B121" s="145" t="s">
        <v>77</v>
      </c>
      <c r="C121" s="146">
        <v>112</v>
      </c>
      <c r="D121" s="147">
        <v>-0.6216216216216216</v>
      </c>
      <c r="E121" s="146">
        <v>35</v>
      </c>
      <c r="F121" s="147">
        <f t="shared" si="11"/>
        <v>-0.6875</v>
      </c>
      <c r="G121" s="146">
        <v>308</v>
      </c>
      <c r="H121" s="147">
        <f t="shared" si="11"/>
        <v>7.8000000000000007</v>
      </c>
      <c r="I121" s="146">
        <v>344</v>
      </c>
      <c r="J121" s="147">
        <f t="shared" si="11"/>
        <v>0.11688311688311681</v>
      </c>
      <c r="K121" s="146">
        <v>445</v>
      </c>
      <c r="L121" s="147">
        <f t="shared" si="11"/>
        <v>0.29360465116279078</v>
      </c>
      <c r="M121" s="146">
        <v>317</v>
      </c>
      <c r="N121" s="147">
        <f t="shared" si="12"/>
        <v>-0.28764044943820222</v>
      </c>
    </row>
    <row r="122" spans="1:15" x14ac:dyDescent="0.25">
      <c r="B122" s="145" t="s">
        <v>79</v>
      </c>
      <c r="C122" s="146">
        <v>0</v>
      </c>
      <c r="D122" s="147">
        <v>-1</v>
      </c>
      <c r="E122" s="146">
        <v>17</v>
      </c>
      <c r="F122" s="147" t="str">
        <f t="shared" si="11"/>
        <v>-</v>
      </c>
      <c r="G122" s="146">
        <v>129</v>
      </c>
      <c r="H122" s="147">
        <f t="shared" si="11"/>
        <v>6.5882352941176467</v>
      </c>
      <c r="I122" s="146">
        <v>155</v>
      </c>
      <c r="J122" s="147">
        <f t="shared" si="11"/>
        <v>0.20155038759689914</v>
      </c>
      <c r="K122" s="146">
        <v>248</v>
      </c>
      <c r="L122" s="147">
        <f t="shared" si="11"/>
        <v>0.60000000000000009</v>
      </c>
      <c r="M122" s="146">
        <v>127</v>
      </c>
      <c r="N122" s="147">
        <f t="shared" si="12"/>
        <v>-0.48790322580645162</v>
      </c>
    </row>
    <row r="123" spans="1:15" x14ac:dyDescent="0.25">
      <c r="B123" s="145" t="s">
        <v>81</v>
      </c>
      <c r="C123" s="146">
        <v>0</v>
      </c>
      <c r="D123" s="147">
        <v>-1</v>
      </c>
      <c r="E123" s="146">
        <v>19</v>
      </c>
      <c r="F123" s="147" t="str">
        <f t="shared" si="11"/>
        <v>-</v>
      </c>
      <c r="G123" s="146">
        <v>143</v>
      </c>
      <c r="H123" s="147">
        <f t="shared" si="11"/>
        <v>6.5263157894736841</v>
      </c>
      <c r="I123" s="146">
        <v>149</v>
      </c>
      <c r="J123" s="147">
        <f t="shared" si="11"/>
        <v>4.195804195804187E-2</v>
      </c>
      <c r="K123" s="146">
        <v>133</v>
      </c>
      <c r="L123" s="147">
        <f t="shared" si="11"/>
        <v>-0.10738255033557043</v>
      </c>
      <c r="M123" s="146">
        <v>124</v>
      </c>
      <c r="N123" s="147">
        <f t="shared" si="12"/>
        <v>-6.7669172932330879E-2</v>
      </c>
    </row>
    <row r="124" spans="1:15" x14ac:dyDescent="0.25">
      <c r="B124" s="145" t="s">
        <v>83</v>
      </c>
      <c r="C124" s="146">
        <v>0</v>
      </c>
      <c r="D124" s="147">
        <v>-1</v>
      </c>
      <c r="E124" s="146">
        <v>25</v>
      </c>
      <c r="F124" s="147" t="str">
        <f t="shared" si="11"/>
        <v>-</v>
      </c>
      <c r="G124" s="146">
        <v>120</v>
      </c>
      <c r="H124" s="147">
        <f t="shared" si="11"/>
        <v>3.8</v>
      </c>
      <c r="I124" s="146">
        <v>124</v>
      </c>
      <c r="J124" s="147">
        <f t="shared" si="11"/>
        <v>3.3333333333333437E-2</v>
      </c>
      <c r="K124" s="146">
        <v>100</v>
      </c>
      <c r="L124" s="147">
        <f t="shared" si="11"/>
        <v>-0.19354838709677424</v>
      </c>
      <c r="M124" s="146">
        <v>113</v>
      </c>
      <c r="N124" s="147">
        <f t="shared" si="12"/>
        <v>0.12999999999999989</v>
      </c>
    </row>
    <row r="125" spans="1:15" x14ac:dyDescent="0.25">
      <c r="B125" s="145" t="s">
        <v>85</v>
      </c>
      <c r="C125" s="146">
        <v>0</v>
      </c>
      <c r="D125" s="147">
        <v>-1</v>
      </c>
      <c r="E125" s="146">
        <v>49</v>
      </c>
      <c r="F125" s="147" t="str">
        <f t="shared" si="11"/>
        <v>-</v>
      </c>
      <c r="G125" s="146">
        <v>82</v>
      </c>
      <c r="H125" s="147">
        <f t="shared" si="11"/>
        <v>0.67346938775510212</v>
      </c>
      <c r="I125" s="146">
        <v>160</v>
      </c>
      <c r="J125" s="147">
        <f t="shared" si="11"/>
        <v>0.95121951219512191</v>
      </c>
      <c r="K125" s="146">
        <v>156</v>
      </c>
      <c r="L125" s="147">
        <f t="shared" si="11"/>
        <v>-2.5000000000000022E-2</v>
      </c>
      <c r="M125" s="146">
        <v>138</v>
      </c>
      <c r="N125" s="147">
        <f t="shared" si="12"/>
        <v>-0.11538461538461542</v>
      </c>
    </row>
    <row r="126" spans="1:15" x14ac:dyDescent="0.25">
      <c r="B126" s="145" t="s">
        <v>87</v>
      </c>
      <c r="C126" s="146">
        <v>24</v>
      </c>
      <c r="D126" s="147">
        <v>-0.72093023255813948</v>
      </c>
      <c r="E126" s="146">
        <v>79</v>
      </c>
      <c r="F126" s="147">
        <f t="shared" si="11"/>
        <v>2.2916666666666665</v>
      </c>
      <c r="G126" s="146">
        <v>109</v>
      </c>
      <c r="H126" s="147">
        <f t="shared" si="11"/>
        <v>0.379746835443038</v>
      </c>
      <c r="I126" s="146">
        <v>153</v>
      </c>
      <c r="J126" s="147">
        <f t="shared" si="11"/>
        <v>0.40366972477064222</v>
      </c>
      <c r="K126" s="146">
        <v>122</v>
      </c>
      <c r="L126" s="147">
        <f t="shared" si="11"/>
        <v>-0.20261437908496727</v>
      </c>
      <c r="M126" s="146">
        <v>77</v>
      </c>
      <c r="N126" s="147">
        <f t="shared" si="12"/>
        <v>-0.36885245901639341</v>
      </c>
    </row>
    <row r="127" spans="1:15" x14ac:dyDescent="0.25">
      <c r="B127" s="145" t="s">
        <v>89</v>
      </c>
      <c r="C127" s="146">
        <v>24</v>
      </c>
      <c r="D127" s="147">
        <v>-0.82978723404255317</v>
      </c>
      <c r="E127" s="146">
        <v>73</v>
      </c>
      <c r="F127" s="147">
        <f t="shared" si="11"/>
        <v>2.0416666666666665</v>
      </c>
      <c r="G127" s="146">
        <v>163</v>
      </c>
      <c r="H127" s="147">
        <f t="shared" si="11"/>
        <v>1.2328767123287672</v>
      </c>
      <c r="I127" s="146">
        <v>144</v>
      </c>
      <c r="J127" s="147">
        <f t="shared" si="11"/>
        <v>-0.1165644171779141</v>
      </c>
      <c r="K127" s="146">
        <v>123</v>
      </c>
      <c r="L127" s="147">
        <f t="shared" si="11"/>
        <v>-0.14583333333333337</v>
      </c>
      <c r="M127" s="146">
        <v>111</v>
      </c>
      <c r="N127" s="147">
        <f t="shared" si="12"/>
        <v>-9.7560975609756073E-2</v>
      </c>
    </row>
    <row r="128" spans="1:15" x14ac:dyDescent="0.25">
      <c r="A128" s="151"/>
      <c r="B128" s="145" t="s">
        <v>91</v>
      </c>
      <c r="C128" s="146">
        <v>50</v>
      </c>
      <c r="D128" s="147">
        <v>-0.65034965034965042</v>
      </c>
      <c r="E128" s="146">
        <v>163</v>
      </c>
      <c r="F128" s="147">
        <f t="shared" si="11"/>
        <v>2.2599999999999998</v>
      </c>
      <c r="G128" s="146">
        <v>175</v>
      </c>
      <c r="H128" s="147">
        <f t="shared" si="11"/>
        <v>7.361963190184051E-2</v>
      </c>
      <c r="I128" s="146">
        <v>180</v>
      </c>
      <c r="J128" s="147">
        <f t="shared" si="11"/>
        <v>2.857142857142847E-2</v>
      </c>
      <c r="K128" s="146">
        <v>204</v>
      </c>
      <c r="L128" s="147">
        <f t="shared" si="11"/>
        <v>0.1333333333333333</v>
      </c>
      <c r="M128" s="146">
        <v>168</v>
      </c>
      <c r="N128" s="147">
        <f t="shared" si="12"/>
        <v>-0.17647058823529416</v>
      </c>
    </row>
    <row r="129" spans="2:15" x14ac:dyDescent="0.25">
      <c r="B129" s="145" t="s">
        <v>93</v>
      </c>
      <c r="C129" s="146">
        <v>96</v>
      </c>
      <c r="D129" s="147">
        <v>-0.65957446808510634</v>
      </c>
      <c r="E129" s="146">
        <v>241</v>
      </c>
      <c r="F129" s="147">
        <f t="shared" si="11"/>
        <v>1.5104166666666665</v>
      </c>
      <c r="G129" s="146">
        <v>264</v>
      </c>
      <c r="H129" s="147">
        <f t="shared" si="11"/>
        <v>9.543568464730301E-2</v>
      </c>
      <c r="I129" s="146">
        <v>278</v>
      </c>
      <c r="J129" s="147">
        <f t="shared" si="11"/>
        <v>5.3030303030302983E-2</v>
      </c>
      <c r="K129" s="146">
        <v>320</v>
      </c>
      <c r="L129" s="147">
        <f t="shared" si="11"/>
        <v>0.15107913669064743</v>
      </c>
      <c r="M129" s="146"/>
      <c r="N129" s="147"/>
    </row>
    <row r="130" spans="2:15" x14ac:dyDescent="0.25">
      <c r="B130" s="145" t="s">
        <v>95</v>
      </c>
      <c r="C130" s="146">
        <v>74</v>
      </c>
      <c r="D130" s="147">
        <v>-0.67543859649122806</v>
      </c>
      <c r="E130" s="146">
        <v>171</v>
      </c>
      <c r="F130" s="147">
        <f t="shared" si="11"/>
        <v>1.310810810810811</v>
      </c>
      <c r="G130" s="146">
        <v>303</v>
      </c>
      <c r="H130" s="147">
        <f t="shared" si="11"/>
        <v>0.77192982456140347</v>
      </c>
      <c r="I130" s="146">
        <v>319</v>
      </c>
      <c r="J130" s="147">
        <f t="shared" si="11"/>
        <v>5.2805280528052778E-2</v>
      </c>
      <c r="K130" s="146">
        <v>260</v>
      </c>
      <c r="L130" s="147">
        <f t="shared" si="11"/>
        <v>-0.1849529780564263</v>
      </c>
      <c r="M130" s="146"/>
      <c r="N130" s="147"/>
    </row>
    <row r="131" spans="2:15" ht="15.75" x14ac:dyDescent="0.25">
      <c r="B131" s="148" t="s">
        <v>32</v>
      </c>
      <c r="C131" s="149">
        <v>1288</v>
      </c>
      <c r="D131" s="150">
        <v>-0.46798843453118544</v>
      </c>
      <c r="E131" s="149">
        <v>921</v>
      </c>
      <c r="F131" s="150">
        <f t="shared" si="11"/>
        <v>-0.28493788819875776</v>
      </c>
      <c r="G131" s="149">
        <v>2403</v>
      </c>
      <c r="H131" s="150">
        <f t="shared" si="11"/>
        <v>1.6091205211726383</v>
      </c>
      <c r="I131" s="149">
        <v>2795</v>
      </c>
      <c r="J131" s="150">
        <f t="shared" si="11"/>
        <v>0.16312942155638788</v>
      </c>
      <c r="K131" s="149">
        <v>3030</v>
      </c>
      <c r="L131" s="150">
        <f t="shared" si="11"/>
        <v>8.4078711985688726E-2</v>
      </c>
      <c r="M131" s="149">
        <v>2046</v>
      </c>
      <c r="N131" s="150">
        <v>-0.16489795918367345</v>
      </c>
    </row>
    <row r="132" spans="2:15" ht="6" customHeight="1" x14ac:dyDescent="0.25"/>
    <row r="133" spans="2:15" x14ac:dyDescent="0.25">
      <c r="B133" s="131" t="s">
        <v>57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K134" s="151"/>
      <c r="M134" s="151"/>
      <c r="N134" s="153"/>
    </row>
    <row r="136" spans="2:15" ht="48.75" customHeight="1" thickBot="1" x14ac:dyDescent="0.3">
      <c r="B136" s="12" t="s">
        <v>245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113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114</v>
      </c>
    </row>
    <row r="138" spans="2:15" ht="22.5" thickTop="1" thickBot="1" x14ac:dyDescent="0.3">
      <c r="B138" s="152" t="str">
        <f>C138</f>
        <v>Alemania</v>
      </c>
      <c r="C138" s="135" t="s">
        <v>115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f>C$7</f>
        <v>2020</v>
      </c>
      <c r="D139" s="139"/>
      <c r="E139" s="138">
        <f>E$7</f>
        <v>2021</v>
      </c>
      <c r="F139" s="139"/>
      <c r="G139" s="138">
        <f>G$7</f>
        <v>2022</v>
      </c>
      <c r="H139" s="139"/>
      <c r="I139" s="138">
        <f>I$7</f>
        <v>2023</v>
      </c>
      <c r="J139" s="139"/>
      <c r="K139" s="138">
        <f>K$7</f>
        <v>2024</v>
      </c>
      <c r="L139" s="139"/>
      <c r="M139" s="138">
        <f>M$7</f>
        <v>2025</v>
      </c>
      <c r="N139" s="139"/>
    </row>
    <row r="140" spans="2:15" ht="16.5" thickTop="1" thickBot="1" x14ac:dyDescent="0.3">
      <c r="B140" s="109"/>
      <c r="C140" s="142" t="s">
        <v>71</v>
      </c>
      <c r="D140" s="143" t="str">
        <f>CONCATENATE("var ",RIGHT(C139,2),"/",RIGHT(C139-1,2))</f>
        <v>var 20/19</v>
      </c>
      <c r="E140" s="144" t="s">
        <v>71</v>
      </c>
      <c r="F140" s="143" t="str">
        <f>CONCATENATE("var ",RIGHT(E139,2),"/",RIGHT(E139-1,2))</f>
        <v>var 21/20</v>
      </c>
      <c r="G140" s="144" t="s">
        <v>71</v>
      </c>
      <c r="H140" s="143" t="str">
        <f>CONCATENATE("var ",RIGHT(G139,2),"/",RIGHT(G139-1,2))</f>
        <v>var 22/21</v>
      </c>
      <c r="I140" s="144" t="s">
        <v>71</v>
      </c>
      <c r="J140" s="143" t="str">
        <f>CONCATENATE("var ",RIGHT(I139,2),"/",RIGHT(I139-1,2))</f>
        <v>var 23/22</v>
      </c>
      <c r="K140" s="144" t="s">
        <v>71</v>
      </c>
      <c r="L140" s="143" t="str">
        <f>CONCATENATE("var ",RIGHT(K139,2),"/",RIGHT(K139-1,2))</f>
        <v>var 24/23</v>
      </c>
      <c r="M140" s="144" t="s">
        <v>71</v>
      </c>
      <c r="N140" s="143" t="str">
        <f>CONCATENATE("var ",RIGHT(M139,2),"/",RIGHT(M139-1,2))</f>
        <v>var 25/24</v>
      </c>
    </row>
    <row r="141" spans="2:15" x14ac:dyDescent="0.25">
      <c r="B141" s="145" t="s">
        <v>73</v>
      </c>
      <c r="C141" s="146">
        <v>427</v>
      </c>
      <c r="D141" s="147">
        <v>0.12368421052631584</v>
      </c>
      <c r="E141" s="146">
        <v>89</v>
      </c>
      <c r="F141" s="147">
        <f t="shared" ref="F141:L153" si="13">IFERROR(E141/C141-1,"-")</f>
        <v>-0.79156908665105385</v>
      </c>
      <c r="G141" s="146">
        <v>309</v>
      </c>
      <c r="H141" s="147">
        <f t="shared" si="13"/>
        <v>2.4719101123595504</v>
      </c>
      <c r="I141" s="146">
        <v>460</v>
      </c>
      <c r="J141" s="147">
        <f t="shared" si="13"/>
        <v>0.48867313915857613</v>
      </c>
      <c r="K141" s="146">
        <v>643</v>
      </c>
      <c r="L141" s="147">
        <f t="shared" si="13"/>
        <v>0.39782608695652177</v>
      </c>
      <c r="M141" s="146">
        <v>526</v>
      </c>
      <c r="N141" s="147">
        <f t="shared" ref="N141:N150" si="14">IFERROR(M141/K141-1,"-")</f>
        <v>-0.18195956454121309</v>
      </c>
    </row>
    <row r="142" spans="2:15" x14ac:dyDescent="0.25">
      <c r="B142" s="145" t="s">
        <v>75</v>
      </c>
      <c r="C142" s="146">
        <v>458</v>
      </c>
      <c r="D142" s="147">
        <v>-3.9832285115304011E-2</v>
      </c>
      <c r="E142" s="146">
        <v>92</v>
      </c>
      <c r="F142" s="147">
        <f t="shared" si="13"/>
        <v>-0.79912663755458513</v>
      </c>
      <c r="G142" s="146">
        <v>390</v>
      </c>
      <c r="H142" s="147">
        <f t="shared" si="13"/>
        <v>3.2391304347826084</v>
      </c>
      <c r="I142" s="146">
        <v>440</v>
      </c>
      <c r="J142" s="147">
        <f t="shared" si="13"/>
        <v>0.12820512820512819</v>
      </c>
      <c r="K142" s="146">
        <v>537</v>
      </c>
      <c r="L142" s="147">
        <f t="shared" si="13"/>
        <v>0.22045454545454546</v>
      </c>
      <c r="M142" s="146">
        <v>505</v>
      </c>
      <c r="N142" s="147">
        <f t="shared" si="14"/>
        <v>-5.9590316573556845E-2</v>
      </c>
    </row>
    <row r="143" spans="2:15" x14ac:dyDescent="0.25">
      <c r="B143" s="145" t="s">
        <v>77</v>
      </c>
      <c r="C143" s="146">
        <v>186</v>
      </c>
      <c r="D143" s="147">
        <v>-0.70382165605095537</v>
      </c>
      <c r="E143" s="146">
        <v>167</v>
      </c>
      <c r="F143" s="147">
        <f t="shared" si="13"/>
        <v>-0.10215053763440862</v>
      </c>
      <c r="G143" s="146">
        <v>431</v>
      </c>
      <c r="H143" s="147">
        <f t="shared" si="13"/>
        <v>1.5808383233532934</v>
      </c>
      <c r="I143" s="146">
        <v>450</v>
      </c>
      <c r="J143" s="147">
        <f t="shared" si="13"/>
        <v>4.4083526682134666E-2</v>
      </c>
      <c r="K143" s="146">
        <v>565</v>
      </c>
      <c r="L143" s="147">
        <f t="shared" si="13"/>
        <v>0.25555555555555554</v>
      </c>
      <c r="M143" s="146">
        <v>519</v>
      </c>
      <c r="N143" s="147">
        <f t="shared" si="14"/>
        <v>-8.1415929203539794E-2</v>
      </c>
    </row>
    <row r="144" spans="2:15" x14ac:dyDescent="0.25">
      <c r="B144" s="145" t="s">
        <v>79</v>
      </c>
      <c r="C144" s="146">
        <v>0</v>
      </c>
      <c r="D144" s="147">
        <v>-1</v>
      </c>
      <c r="E144" s="146">
        <v>83</v>
      </c>
      <c r="F144" s="147" t="str">
        <f t="shared" si="13"/>
        <v>-</v>
      </c>
      <c r="G144" s="146">
        <v>352</v>
      </c>
      <c r="H144" s="147">
        <f t="shared" si="13"/>
        <v>3.2409638554216871</v>
      </c>
      <c r="I144" s="146">
        <v>358</v>
      </c>
      <c r="J144" s="147">
        <f t="shared" si="13"/>
        <v>1.7045454545454586E-2</v>
      </c>
      <c r="K144" s="146">
        <v>348</v>
      </c>
      <c r="L144" s="147">
        <f t="shared" si="13"/>
        <v>-2.7932960893854775E-2</v>
      </c>
      <c r="M144" s="146">
        <v>295</v>
      </c>
      <c r="N144" s="147">
        <f t="shared" si="14"/>
        <v>-0.1522988505747126</v>
      </c>
    </row>
    <row r="145" spans="1:15" x14ac:dyDescent="0.25">
      <c r="B145" s="145" t="s">
        <v>81</v>
      </c>
      <c r="C145" s="146">
        <v>0</v>
      </c>
      <c r="D145" s="147">
        <v>-1</v>
      </c>
      <c r="E145" s="146">
        <v>122</v>
      </c>
      <c r="F145" s="147" t="str">
        <f t="shared" si="13"/>
        <v>-</v>
      </c>
      <c r="G145" s="146">
        <v>190</v>
      </c>
      <c r="H145" s="147">
        <f t="shared" si="13"/>
        <v>0.55737704918032782</v>
      </c>
      <c r="I145" s="146">
        <v>188</v>
      </c>
      <c r="J145" s="147">
        <f t="shared" si="13"/>
        <v>-1.0526315789473717E-2</v>
      </c>
      <c r="K145" s="146">
        <v>242</v>
      </c>
      <c r="L145" s="147">
        <f t="shared" si="13"/>
        <v>0.2872340425531914</v>
      </c>
      <c r="M145" s="146">
        <v>211</v>
      </c>
      <c r="N145" s="147">
        <f t="shared" si="14"/>
        <v>-0.12809917355371903</v>
      </c>
    </row>
    <row r="146" spans="1:15" x14ac:dyDescent="0.25">
      <c r="B146" s="145" t="s">
        <v>83</v>
      </c>
      <c r="C146" s="146">
        <v>0</v>
      </c>
      <c r="D146" s="147">
        <v>-1</v>
      </c>
      <c r="E146" s="146">
        <v>106</v>
      </c>
      <c r="F146" s="147" t="str">
        <f t="shared" si="13"/>
        <v>-</v>
      </c>
      <c r="G146" s="146">
        <v>171</v>
      </c>
      <c r="H146" s="147">
        <f t="shared" si="13"/>
        <v>0.6132075471698113</v>
      </c>
      <c r="I146" s="146">
        <v>128</v>
      </c>
      <c r="J146" s="147">
        <f t="shared" si="13"/>
        <v>-0.25146198830409361</v>
      </c>
      <c r="K146" s="146">
        <v>154</v>
      </c>
      <c r="L146" s="147">
        <f t="shared" si="13"/>
        <v>0.203125</v>
      </c>
      <c r="M146" s="146">
        <v>117</v>
      </c>
      <c r="N146" s="147">
        <f t="shared" si="14"/>
        <v>-0.24025974025974028</v>
      </c>
    </row>
    <row r="147" spans="1:15" x14ac:dyDescent="0.25">
      <c r="B147" s="145" t="s">
        <v>85</v>
      </c>
      <c r="C147" s="146">
        <v>0</v>
      </c>
      <c r="D147" s="147">
        <v>-1</v>
      </c>
      <c r="E147" s="146">
        <v>120</v>
      </c>
      <c r="F147" s="147" t="str">
        <f t="shared" si="13"/>
        <v>-</v>
      </c>
      <c r="G147" s="146">
        <v>136</v>
      </c>
      <c r="H147" s="147">
        <f t="shared" si="13"/>
        <v>0.1333333333333333</v>
      </c>
      <c r="I147" s="146">
        <v>108</v>
      </c>
      <c r="J147" s="147">
        <f t="shared" si="13"/>
        <v>-0.20588235294117652</v>
      </c>
      <c r="K147" s="146">
        <v>124</v>
      </c>
      <c r="L147" s="147">
        <f t="shared" si="13"/>
        <v>0.14814814814814814</v>
      </c>
      <c r="M147" s="146">
        <v>124</v>
      </c>
      <c r="N147" s="147">
        <f t="shared" si="14"/>
        <v>0</v>
      </c>
    </row>
    <row r="148" spans="1:15" x14ac:dyDescent="0.25">
      <c r="B148" s="145" t="s">
        <v>87</v>
      </c>
      <c r="C148" s="146">
        <v>86</v>
      </c>
      <c r="D148" s="147">
        <v>-0.38571428571428568</v>
      </c>
      <c r="E148" s="146">
        <v>203</v>
      </c>
      <c r="F148" s="147">
        <f t="shared" si="13"/>
        <v>1.36046511627907</v>
      </c>
      <c r="G148" s="146">
        <v>193</v>
      </c>
      <c r="H148" s="147">
        <f t="shared" si="13"/>
        <v>-4.9261083743842415E-2</v>
      </c>
      <c r="I148" s="146">
        <v>235</v>
      </c>
      <c r="J148" s="147">
        <f t="shared" si="13"/>
        <v>0.21761658031088094</v>
      </c>
      <c r="K148" s="146">
        <v>173</v>
      </c>
      <c r="L148" s="147">
        <f t="shared" si="13"/>
        <v>-0.2638297872340426</v>
      </c>
      <c r="M148" s="146">
        <v>124</v>
      </c>
      <c r="N148" s="147">
        <f t="shared" si="14"/>
        <v>-0.2832369942196532</v>
      </c>
    </row>
    <row r="149" spans="1:15" x14ac:dyDescent="0.25">
      <c r="B149" s="145" t="s">
        <v>89</v>
      </c>
      <c r="C149" s="146">
        <v>42</v>
      </c>
      <c r="D149" s="147">
        <v>-0.76536312849162014</v>
      </c>
      <c r="E149" s="146">
        <v>194</v>
      </c>
      <c r="F149" s="147">
        <f t="shared" si="13"/>
        <v>3.6190476190476186</v>
      </c>
      <c r="G149" s="146">
        <v>224</v>
      </c>
      <c r="H149" s="147">
        <f t="shared" si="13"/>
        <v>0.15463917525773185</v>
      </c>
      <c r="I149" s="146">
        <v>222</v>
      </c>
      <c r="J149" s="147">
        <f t="shared" si="13"/>
        <v>-8.9285714285713969E-3</v>
      </c>
      <c r="K149" s="146">
        <v>224</v>
      </c>
      <c r="L149" s="147">
        <f t="shared" si="13"/>
        <v>9.009009009008917E-3</v>
      </c>
      <c r="M149" s="146">
        <v>124</v>
      </c>
      <c r="N149" s="147">
        <f t="shared" si="14"/>
        <v>-0.4464285714285714</v>
      </c>
    </row>
    <row r="150" spans="1:15" x14ac:dyDescent="0.25">
      <c r="A150" s="151"/>
      <c r="B150" s="145" t="s">
        <v>91</v>
      </c>
      <c r="C150" s="146">
        <v>40</v>
      </c>
      <c r="D150" s="147">
        <v>-0.89924433249370272</v>
      </c>
      <c r="E150" s="146">
        <v>402</v>
      </c>
      <c r="F150" s="147">
        <f t="shared" si="13"/>
        <v>9.0500000000000007</v>
      </c>
      <c r="G150" s="146">
        <v>318</v>
      </c>
      <c r="H150" s="147">
        <f t="shared" si="13"/>
        <v>-0.20895522388059706</v>
      </c>
      <c r="I150" s="146">
        <v>304</v>
      </c>
      <c r="J150" s="147">
        <f t="shared" si="13"/>
        <v>-4.4025157232704393E-2</v>
      </c>
      <c r="K150" s="146">
        <v>305</v>
      </c>
      <c r="L150" s="147">
        <f t="shared" si="13"/>
        <v>3.2894736842106198E-3</v>
      </c>
      <c r="M150" s="146">
        <v>124</v>
      </c>
      <c r="N150" s="147">
        <f t="shared" si="14"/>
        <v>-0.59344262295081962</v>
      </c>
    </row>
    <row r="151" spans="1:15" x14ac:dyDescent="0.25">
      <c r="B151" s="145" t="s">
        <v>93</v>
      </c>
      <c r="C151" s="146">
        <v>103</v>
      </c>
      <c r="D151" s="147">
        <v>-0.80783582089552242</v>
      </c>
      <c r="E151" s="146">
        <v>469</v>
      </c>
      <c r="F151" s="147">
        <f t="shared" si="13"/>
        <v>3.5533980582524274</v>
      </c>
      <c r="G151" s="146">
        <v>407</v>
      </c>
      <c r="H151" s="147">
        <f t="shared" si="13"/>
        <v>-0.13219616204690832</v>
      </c>
      <c r="I151" s="146">
        <v>499</v>
      </c>
      <c r="J151" s="147">
        <f t="shared" si="13"/>
        <v>0.22604422604422614</v>
      </c>
      <c r="K151" s="146">
        <v>459</v>
      </c>
      <c r="L151" s="147">
        <f t="shared" si="13"/>
        <v>-8.0160320641282534E-2</v>
      </c>
      <c r="M151" s="146"/>
      <c r="N151" s="147"/>
    </row>
    <row r="152" spans="1:15" x14ac:dyDescent="0.25">
      <c r="B152" s="145" t="s">
        <v>95</v>
      </c>
      <c r="C152" s="146">
        <v>87</v>
      </c>
      <c r="D152" s="147">
        <v>-0.77044854881266489</v>
      </c>
      <c r="E152" s="146">
        <v>348</v>
      </c>
      <c r="F152" s="147">
        <f t="shared" si="13"/>
        <v>3</v>
      </c>
      <c r="G152" s="146">
        <v>361</v>
      </c>
      <c r="H152" s="147">
        <f t="shared" si="13"/>
        <v>3.7356321839080442E-2</v>
      </c>
      <c r="I152" s="146">
        <v>422</v>
      </c>
      <c r="J152" s="147">
        <f t="shared" si="13"/>
        <v>0.1689750692520775</v>
      </c>
      <c r="K152" s="146">
        <v>460</v>
      </c>
      <c r="L152" s="147">
        <f t="shared" si="13"/>
        <v>9.004739336492884E-2</v>
      </c>
      <c r="M152" s="146"/>
      <c r="N152" s="147"/>
    </row>
    <row r="153" spans="1:15" ht="15.75" x14ac:dyDescent="0.25">
      <c r="B153" s="148" t="s">
        <v>32</v>
      </c>
      <c r="C153" s="149">
        <v>1481</v>
      </c>
      <c r="D153" s="150">
        <v>-0.62074263764404614</v>
      </c>
      <c r="E153" s="149">
        <v>2395</v>
      </c>
      <c r="F153" s="150">
        <f t="shared" si="13"/>
        <v>0.61715057393652928</v>
      </c>
      <c r="G153" s="149">
        <v>3482</v>
      </c>
      <c r="H153" s="150">
        <f t="shared" si="13"/>
        <v>0.45386221294363249</v>
      </c>
      <c r="I153" s="149">
        <v>3814</v>
      </c>
      <c r="J153" s="150">
        <f t="shared" si="13"/>
        <v>9.5347501435956383E-2</v>
      </c>
      <c r="K153" s="149">
        <v>4234</v>
      </c>
      <c r="L153" s="150">
        <f t="shared" si="13"/>
        <v>0.11012060828526482</v>
      </c>
      <c r="M153" s="149">
        <v>3003</v>
      </c>
      <c r="N153" s="150">
        <v>-9.4117647058823528E-2</v>
      </c>
    </row>
    <row r="154" spans="1:15" ht="6" customHeight="1" x14ac:dyDescent="0.25"/>
    <row r="155" spans="1:15" x14ac:dyDescent="0.25">
      <c r="B155" s="131" t="s">
        <v>57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K156" s="151"/>
      <c r="N156" s="154"/>
    </row>
    <row r="158" spans="1:15" ht="48.75" customHeight="1" thickBot="1" x14ac:dyDescent="0.3">
      <c r="B158" s="12" t="s">
        <v>246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116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117</v>
      </c>
    </row>
    <row r="160" spans="1:15" ht="22.5" thickTop="1" thickBot="1" x14ac:dyDescent="0.3">
      <c r="B160" s="152" t="str">
        <f>C160</f>
        <v>Francia</v>
      </c>
      <c r="C160" s="135" t="s">
        <v>118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f>C$7</f>
        <v>2020</v>
      </c>
      <c r="D161" s="139"/>
      <c r="E161" s="138">
        <f>E$7</f>
        <v>2021</v>
      </c>
      <c r="F161" s="139"/>
      <c r="G161" s="138">
        <f>G$7</f>
        <v>2022</v>
      </c>
      <c r="H161" s="139"/>
      <c r="I161" s="138">
        <f>I$7</f>
        <v>2023</v>
      </c>
      <c r="J161" s="139"/>
      <c r="K161" s="138">
        <f>K$7</f>
        <v>2024</v>
      </c>
      <c r="L161" s="139"/>
      <c r="M161" s="138">
        <f>M$7</f>
        <v>2025</v>
      </c>
      <c r="N161" s="139"/>
    </row>
    <row r="162" spans="2:14" ht="16.5" thickTop="1" thickBot="1" x14ac:dyDescent="0.3">
      <c r="B162" s="109"/>
      <c r="C162" s="142" t="s">
        <v>71</v>
      </c>
      <c r="D162" s="143" t="str">
        <f>CONCATENATE("var ",RIGHT(C161,2),"/",RIGHT(C161-1,2))</f>
        <v>var 20/19</v>
      </c>
      <c r="E162" s="144" t="s">
        <v>71</v>
      </c>
      <c r="F162" s="143" t="str">
        <f>CONCATENATE("var ",RIGHT(E161,2),"/",RIGHT(E161-1,2))</f>
        <v>var 21/20</v>
      </c>
      <c r="G162" s="144" t="s">
        <v>71</v>
      </c>
      <c r="H162" s="143" t="str">
        <f>CONCATENATE("var ",RIGHT(G161,2),"/",RIGHT(G161-1,2))</f>
        <v>var 22/21</v>
      </c>
      <c r="I162" s="144" t="s">
        <v>71</v>
      </c>
      <c r="J162" s="143" t="str">
        <f>CONCATENATE("var ",RIGHT(I161,2),"/",RIGHT(I161-1,2))</f>
        <v>var 23/22</v>
      </c>
      <c r="K162" s="144" t="s">
        <v>71</v>
      </c>
      <c r="L162" s="143" t="str">
        <f>CONCATENATE("var ",RIGHT(K161,2),"/",RIGHT(K161-1,2))</f>
        <v>var 24/23</v>
      </c>
      <c r="M162" s="144" t="s">
        <v>71</v>
      </c>
      <c r="N162" s="143" t="str">
        <f>CONCATENATE("var ",RIGHT(M161,2),"/",RIGHT(M161-1,2))</f>
        <v>var 25/24</v>
      </c>
    </row>
    <row r="163" spans="2:14" x14ac:dyDescent="0.25">
      <c r="B163" s="145" t="s">
        <v>73</v>
      </c>
      <c r="C163" s="146">
        <v>405</v>
      </c>
      <c r="D163" s="147">
        <v>9.7560975609756184E-2</v>
      </c>
      <c r="E163" s="146">
        <v>213</v>
      </c>
      <c r="F163" s="147">
        <f t="shared" ref="F163:L175" si="15">IFERROR(E163/C163-1,"-")</f>
        <v>-0.47407407407407409</v>
      </c>
      <c r="G163" s="146">
        <v>325</v>
      </c>
      <c r="H163" s="147">
        <f t="shared" si="15"/>
        <v>0.5258215962441315</v>
      </c>
      <c r="I163" s="146">
        <v>488</v>
      </c>
      <c r="J163" s="147">
        <f t="shared" si="15"/>
        <v>0.50153846153846149</v>
      </c>
      <c r="K163" s="146">
        <v>385</v>
      </c>
      <c r="L163" s="147">
        <f t="shared" si="15"/>
        <v>-0.21106557377049184</v>
      </c>
      <c r="M163" s="146">
        <v>398</v>
      </c>
      <c r="N163" s="147">
        <f t="shared" ref="N163:N172" si="16">IFERROR(M163/K163-1,"-")</f>
        <v>3.3766233766233666E-2</v>
      </c>
    </row>
    <row r="164" spans="2:14" x14ac:dyDescent="0.25">
      <c r="B164" s="145" t="s">
        <v>75</v>
      </c>
      <c r="C164" s="146">
        <v>500</v>
      </c>
      <c r="D164" s="147">
        <v>0.50150150150150141</v>
      </c>
      <c r="E164" s="146">
        <v>271</v>
      </c>
      <c r="F164" s="147">
        <f t="shared" si="15"/>
        <v>-0.45799999999999996</v>
      </c>
      <c r="G164" s="146">
        <v>388</v>
      </c>
      <c r="H164" s="147">
        <f t="shared" si="15"/>
        <v>0.43173431734317336</v>
      </c>
      <c r="I164" s="146">
        <v>402</v>
      </c>
      <c r="J164" s="147">
        <f t="shared" si="15"/>
        <v>3.6082474226804218E-2</v>
      </c>
      <c r="K164" s="146">
        <v>456</v>
      </c>
      <c r="L164" s="147">
        <f t="shared" si="15"/>
        <v>0.13432835820895517</v>
      </c>
      <c r="M164" s="146">
        <v>412</v>
      </c>
      <c r="N164" s="147">
        <f t="shared" si="16"/>
        <v>-9.6491228070175405E-2</v>
      </c>
    </row>
    <row r="165" spans="2:14" x14ac:dyDescent="0.25">
      <c r="B165" s="145" t="s">
        <v>77</v>
      </c>
      <c r="C165" s="146">
        <v>256</v>
      </c>
      <c r="D165" s="147">
        <v>-0.42342342342342343</v>
      </c>
      <c r="E165" s="146">
        <v>451</v>
      </c>
      <c r="F165" s="147">
        <f t="shared" si="15"/>
        <v>0.76171875</v>
      </c>
      <c r="G165" s="146">
        <v>383</v>
      </c>
      <c r="H165" s="147">
        <f t="shared" si="15"/>
        <v>-0.15077605321507759</v>
      </c>
      <c r="I165" s="146">
        <v>468</v>
      </c>
      <c r="J165" s="147">
        <f t="shared" si="15"/>
        <v>0.22193211488250664</v>
      </c>
      <c r="K165" s="146">
        <v>490</v>
      </c>
      <c r="L165" s="147">
        <f t="shared" si="15"/>
        <v>4.7008547008547064E-2</v>
      </c>
      <c r="M165" s="146">
        <v>507</v>
      </c>
      <c r="N165" s="147">
        <f t="shared" si="16"/>
        <v>3.469387755102038E-2</v>
      </c>
    </row>
    <row r="166" spans="2:14" x14ac:dyDescent="0.25">
      <c r="B166" s="145" t="s">
        <v>79</v>
      </c>
      <c r="C166" s="146">
        <v>0</v>
      </c>
      <c r="D166" s="147">
        <v>-1</v>
      </c>
      <c r="E166" s="146">
        <v>363</v>
      </c>
      <c r="F166" s="147" t="str">
        <f t="shared" si="15"/>
        <v>-</v>
      </c>
      <c r="G166" s="146">
        <v>282</v>
      </c>
      <c r="H166" s="147">
        <f t="shared" si="15"/>
        <v>-0.22314049586776863</v>
      </c>
      <c r="I166" s="146">
        <v>300</v>
      </c>
      <c r="J166" s="147">
        <f t="shared" si="15"/>
        <v>6.3829787234042534E-2</v>
      </c>
      <c r="K166" s="146">
        <v>339</v>
      </c>
      <c r="L166" s="147">
        <f t="shared" si="15"/>
        <v>0.12999999999999989</v>
      </c>
      <c r="M166" s="146">
        <v>287</v>
      </c>
      <c r="N166" s="147">
        <f t="shared" si="16"/>
        <v>-0.15339233038348088</v>
      </c>
    </row>
    <row r="167" spans="2:14" x14ac:dyDescent="0.25">
      <c r="B167" s="145" t="s">
        <v>81</v>
      </c>
      <c r="C167" s="146">
        <v>0</v>
      </c>
      <c r="D167" s="147">
        <v>-1</v>
      </c>
      <c r="E167" s="146">
        <v>392</v>
      </c>
      <c r="F167" s="147" t="str">
        <f t="shared" si="15"/>
        <v>-</v>
      </c>
      <c r="G167" s="146">
        <v>279</v>
      </c>
      <c r="H167" s="147">
        <f t="shared" si="15"/>
        <v>-0.28826530612244894</v>
      </c>
      <c r="I167" s="146">
        <v>309</v>
      </c>
      <c r="J167" s="147">
        <f t="shared" si="15"/>
        <v>0.10752688172043001</v>
      </c>
      <c r="K167" s="146">
        <v>294</v>
      </c>
      <c r="L167" s="147">
        <f t="shared" si="15"/>
        <v>-4.8543689320388328E-2</v>
      </c>
      <c r="M167" s="146">
        <v>288</v>
      </c>
      <c r="N167" s="147">
        <f t="shared" si="16"/>
        <v>-2.0408163265306145E-2</v>
      </c>
    </row>
    <row r="168" spans="2:14" x14ac:dyDescent="0.25">
      <c r="B168" s="145" t="s">
        <v>83</v>
      </c>
      <c r="C168" s="146">
        <v>0</v>
      </c>
      <c r="D168" s="147">
        <v>-1</v>
      </c>
      <c r="E168" s="146">
        <v>162</v>
      </c>
      <c r="F168" s="147" t="str">
        <f t="shared" si="15"/>
        <v>-</v>
      </c>
      <c r="G168" s="146">
        <v>122</v>
      </c>
      <c r="H168" s="147">
        <f t="shared" si="15"/>
        <v>-0.24691358024691357</v>
      </c>
      <c r="I168" s="146">
        <v>150</v>
      </c>
      <c r="J168" s="147">
        <f t="shared" si="15"/>
        <v>0.22950819672131151</v>
      </c>
      <c r="K168" s="146">
        <v>118</v>
      </c>
      <c r="L168" s="147">
        <f t="shared" si="15"/>
        <v>-0.21333333333333337</v>
      </c>
      <c r="M168" s="146">
        <v>138</v>
      </c>
      <c r="N168" s="147">
        <f t="shared" si="16"/>
        <v>0.16949152542372881</v>
      </c>
    </row>
    <row r="169" spans="2:14" x14ac:dyDescent="0.25">
      <c r="B169" s="145" t="s">
        <v>85</v>
      </c>
      <c r="C169" s="146">
        <v>0</v>
      </c>
      <c r="D169" s="147">
        <v>-1</v>
      </c>
      <c r="E169" s="146">
        <v>212</v>
      </c>
      <c r="F169" s="147" t="str">
        <f t="shared" si="15"/>
        <v>-</v>
      </c>
      <c r="G169" s="146">
        <v>200</v>
      </c>
      <c r="H169" s="147">
        <f t="shared" si="15"/>
        <v>-5.6603773584905648E-2</v>
      </c>
      <c r="I169" s="146">
        <v>186</v>
      </c>
      <c r="J169" s="147">
        <f t="shared" si="15"/>
        <v>-6.9999999999999951E-2</v>
      </c>
      <c r="K169" s="146">
        <v>184</v>
      </c>
      <c r="L169" s="147">
        <f t="shared" si="15"/>
        <v>-1.0752688172043001E-2</v>
      </c>
      <c r="M169" s="146">
        <v>143</v>
      </c>
      <c r="N169" s="147">
        <f t="shared" si="16"/>
        <v>-0.22282608695652173</v>
      </c>
    </row>
    <row r="170" spans="2:14" x14ac:dyDescent="0.25">
      <c r="B170" s="145" t="s">
        <v>87</v>
      </c>
      <c r="C170" s="146">
        <v>285</v>
      </c>
      <c r="D170" s="147">
        <v>-0.25</v>
      </c>
      <c r="E170" s="146">
        <v>419</v>
      </c>
      <c r="F170" s="147">
        <f t="shared" si="15"/>
        <v>0.47017543859649114</v>
      </c>
      <c r="G170" s="146">
        <v>410</v>
      </c>
      <c r="H170" s="147">
        <f t="shared" si="15"/>
        <v>-2.1479713603818618E-2</v>
      </c>
      <c r="I170" s="146">
        <v>328</v>
      </c>
      <c r="J170" s="147">
        <f t="shared" si="15"/>
        <v>-0.19999999999999996</v>
      </c>
      <c r="K170" s="146">
        <v>334</v>
      </c>
      <c r="L170" s="147">
        <f t="shared" si="15"/>
        <v>1.8292682926829285E-2</v>
      </c>
      <c r="M170" s="146">
        <v>350</v>
      </c>
      <c r="N170" s="147">
        <f t="shared" si="16"/>
        <v>4.7904191616766401E-2</v>
      </c>
    </row>
    <row r="171" spans="2:14" x14ac:dyDescent="0.25">
      <c r="B171" s="145" t="s">
        <v>89</v>
      </c>
      <c r="C171" s="146">
        <v>48</v>
      </c>
      <c r="D171" s="147">
        <v>-0.77251184834123221</v>
      </c>
      <c r="E171" s="146">
        <v>180</v>
      </c>
      <c r="F171" s="147">
        <f t="shared" si="15"/>
        <v>2.75</v>
      </c>
      <c r="G171" s="146">
        <v>154</v>
      </c>
      <c r="H171" s="147">
        <f t="shared" si="15"/>
        <v>-0.14444444444444449</v>
      </c>
      <c r="I171" s="146">
        <v>208</v>
      </c>
      <c r="J171" s="147">
        <f t="shared" si="15"/>
        <v>0.35064935064935066</v>
      </c>
      <c r="K171" s="146">
        <v>152</v>
      </c>
      <c r="L171" s="147">
        <f t="shared" si="15"/>
        <v>-0.26923076923076927</v>
      </c>
      <c r="M171" s="146">
        <v>204</v>
      </c>
      <c r="N171" s="147">
        <f t="shared" si="16"/>
        <v>0.34210526315789469</v>
      </c>
    </row>
    <row r="172" spans="2:14" x14ac:dyDescent="0.25">
      <c r="B172" s="145" t="s">
        <v>91</v>
      </c>
      <c r="C172" s="146">
        <v>154</v>
      </c>
      <c r="D172" s="147">
        <v>-0.53191489361702127</v>
      </c>
      <c r="E172" s="146">
        <v>204</v>
      </c>
      <c r="F172" s="147">
        <f t="shared" si="15"/>
        <v>0.32467532467532467</v>
      </c>
      <c r="G172" s="146">
        <v>223</v>
      </c>
      <c r="H172" s="147">
        <f t="shared" si="15"/>
        <v>9.3137254901960675E-2</v>
      </c>
      <c r="I172" s="146">
        <v>290</v>
      </c>
      <c r="J172" s="147">
        <f t="shared" si="15"/>
        <v>0.30044843049327352</v>
      </c>
      <c r="K172" s="146">
        <v>286</v>
      </c>
      <c r="L172" s="147">
        <f t="shared" si="15"/>
        <v>-1.379310344827589E-2</v>
      </c>
      <c r="M172" s="146">
        <v>297</v>
      </c>
      <c r="N172" s="147">
        <f t="shared" si="16"/>
        <v>3.8461538461538547E-2</v>
      </c>
    </row>
    <row r="173" spans="2:14" x14ac:dyDescent="0.25">
      <c r="B173" s="145" t="s">
        <v>93</v>
      </c>
      <c r="C173" s="146">
        <v>49</v>
      </c>
      <c r="D173" s="147">
        <v>-0.87037037037037035</v>
      </c>
      <c r="E173" s="146">
        <v>310</v>
      </c>
      <c r="F173" s="147">
        <f t="shared" si="15"/>
        <v>5.3265306122448983</v>
      </c>
      <c r="G173" s="146">
        <v>289</v>
      </c>
      <c r="H173" s="147">
        <f t="shared" si="15"/>
        <v>-6.7741935483870974E-2</v>
      </c>
      <c r="I173" s="146">
        <v>452</v>
      </c>
      <c r="J173" s="147">
        <f t="shared" si="15"/>
        <v>0.56401384083044981</v>
      </c>
      <c r="K173" s="146">
        <v>367</v>
      </c>
      <c r="L173" s="147">
        <f t="shared" si="15"/>
        <v>-0.18805309734513276</v>
      </c>
      <c r="M173" s="146"/>
      <c r="N173" s="147"/>
    </row>
    <row r="174" spans="2:14" x14ac:dyDescent="0.25">
      <c r="B174" s="145" t="s">
        <v>95</v>
      </c>
      <c r="C174" s="146">
        <v>202</v>
      </c>
      <c r="D174" s="147">
        <v>-0.40236686390532539</v>
      </c>
      <c r="E174" s="146">
        <v>364</v>
      </c>
      <c r="F174" s="147">
        <f t="shared" si="15"/>
        <v>0.80198019801980203</v>
      </c>
      <c r="G174" s="146">
        <v>357</v>
      </c>
      <c r="H174" s="147">
        <f t="shared" si="15"/>
        <v>-1.9230769230769273E-2</v>
      </c>
      <c r="I174" s="146">
        <v>304</v>
      </c>
      <c r="J174" s="147">
        <f t="shared" si="15"/>
        <v>-0.14845938375350143</v>
      </c>
      <c r="K174" s="146">
        <v>280</v>
      </c>
      <c r="L174" s="147">
        <f t="shared" si="15"/>
        <v>-7.8947368421052655E-2</v>
      </c>
      <c r="M174" s="146"/>
      <c r="N174" s="147"/>
    </row>
    <row r="175" spans="2:14" ht="15.75" x14ac:dyDescent="0.25">
      <c r="B175" s="148" t="s">
        <v>32</v>
      </c>
      <c r="C175" s="149">
        <v>1974</v>
      </c>
      <c r="D175" s="150">
        <v>-0.48780487804878048</v>
      </c>
      <c r="E175" s="149">
        <v>3541</v>
      </c>
      <c r="F175" s="150">
        <f t="shared" si="15"/>
        <v>0.79381965552178313</v>
      </c>
      <c r="G175" s="149">
        <v>3412</v>
      </c>
      <c r="H175" s="150">
        <f t="shared" si="15"/>
        <v>-3.6430386896356914E-2</v>
      </c>
      <c r="I175" s="149">
        <v>3885</v>
      </c>
      <c r="J175" s="150">
        <f t="shared" si="15"/>
        <v>0.13862837045720977</v>
      </c>
      <c r="K175" s="149">
        <v>3685</v>
      </c>
      <c r="L175" s="150">
        <f t="shared" si="15"/>
        <v>-5.1480051480051525E-2</v>
      </c>
      <c r="M175" s="149">
        <v>3024</v>
      </c>
      <c r="N175" s="150">
        <v>-4.6082949308755561E-3</v>
      </c>
    </row>
    <row r="176" spans="2:14" ht="6" customHeight="1" x14ac:dyDescent="0.25"/>
    <row r="177" spans="1:15" x14ac:dyDescent="0.25">
      <c r="B177" s="131" t="s">
        <v>57</v>
      </c>
      <c r="C177" s="131"/>
      <c r="D177" s="131"/>
      <c r="E177" s="131"/>
      <c r="F177" s="131"/>
      <c r="G177" s="131"/>
      <c r="H177" s="131"/>
      <c r="I177" s="131"/>
      <c r="J177" s="131"/>
      <c r="K177" s="155"/>
      <c r="L177" s="131"/>
      <c r="M177" s="131"/>
      <c r="N177" s="131"/>
    </row>
    <row r="180" spans="1:15" ht="48.75" customHeight="1" thickBot="1" x14ac:dyDescent="0.3">
      <c r="B180" s="12" t="s">
        <v>247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119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120</v>
      </c>
    </row>
    <row r="182" spans="1:15" ht="22.5" thickTop="1" thickBot="1" x14ac:dyDescent="0.3">
      <c r="B182" s="152" t="str">
        <f>C182</f>
        <v>Bélgica</v>
      </c>
      <c r="C182" s="135" t="s">
        <v>121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f>C$7</f>
        <v>2020</v>
      </c>
      <c r="D183" s="139"/>
      <c r="E183" s="138">
        <f>E$7</f>
        <v>2021</v>
      </c>
      <c r="F183" s="139"/>
      <c r="G183" s="138">
        <f>G$7</f>
        <v>2022</v>
      </c>
      <c r="H183" s="139"/>
      <c r="I183" s="138">
        <f>I$7</f>
        <v>2023</v>
      </c>
      <c r="J183" s="139"/>
      <c r="K183" s="138">
        <f>K$7</f>
        <v>2024</v>
      </c>
      <c r="L183" s="139"/>
      <c r="M183" s="138">
        <f>M$7</f>
        <v>2025</v>
      </c>
      <c r="N183" s="139"/>
    </row>
    <row r="184" spans="1:15" ht="16.5" thickTop="1" thickBot="1" x14ac:dyDescent="0.3">
      <c r="B184" s="109"/>
      <c r="C184" s="142" t="s">
        <v>71</v>
      </c>
      <c r="D184" s="143" t="str">
        <f>CONCATENATE("var ",RIGHT(C183,2),"/",RIGHT(C183-1,2))</f>
        <v>var 20/19</v>
      </c>
      <c r="E184" s="144" t="s">
        <v>71</v>
      </c>
      <c r="F184" s="143" t="str">
        <f>CONCATENATE("var ",RIGHT(E183,2),"/",RIGHT(E183-1,2))</f>
        <v>var 21/20</v>
      </c>
      <c r="G184" s="144" t="s">
        <v>71</v>
      </c>
      <c r="H184" s="143" t="str">
        <f>CONCATENATE("var ",RIGHT(G183,2),"/",RIGHT(G183-1,2))</f>
        <v>var 22/21</v>
      </c>
      <c r="I184" s="144" t="s">
        <v>71</v>
      </c>
      <c r="J184" s="143" t="str">
        <f>CONCATENATE("var ",RIGHT(I183,2),"/",RIGHT(I183-1,2))</f>
        <v>var 23/22</v>
      </c>
      <c r="K184" s="144" t="s">
        <v>71</v>
      </c>
      <c r="L184" s="143" t="str">
        <f>CONCATENATE("var ",RIGHT(K183,2),"/",RIGHT(K183-1,2))</f>
        <v>var 24/23</v>
      </c>
      <c r="M184" s="144" t="s">
        <v>71</v>
      </c>
      <c r="N184" s="143" t="str">
        <f>CONCATENATE("var ",RIGHT(M183,2),"/",RIGHT(M183-1,2))</f>
        <v>var 25/24</v>
      </c>
    </row>
    <row r="185" spans="1:15" x14ac:dyDescent="0.25">
      <c r="A185" s="151"/>
      <c r="B185" s="145" t="s">
        <v>73</v>
      </c>
      <c r="C185" s="146">
        <v>71</v>
      </c>
      <c r="D185" s="147">
        <v>-4.0540540540540571E-2</v>
      </c>
      <c r="E185" s="146">
        <v>24</v>
      </c>
      <c r="F185" s="147">
        <f t="shared" ref="F185:L197" si="17">IFERROR(E185/C185-1,"-")</f>
        <v>-0.6619718309859155</v>
      </c>
      <c r="G185" s="146">
        <v>89</v>
      </c>
      <c r="H185" s="147">
        <f t="shared" si="17"/>
        <v>2.7083333333333335</v>
      </c>
      <c r="I185" s="146">
        <v>81</v>
      </c>
      <c r="J185" s="147">
        <f t="shared" si="17"/>
        <v>-8.98876404494382E-2</v>
      </c>
      <c r="K185" s="146">
        <v>171</v>
      </c>
      <c r="L185" s="147">
        <f t="shared" si="17"/>
        <v>1.1111111111111112</v>
      </c>
      <c r="M185" s="146">
        <v>130</v>
      </c>
      <c r="N185" s="147">
        <f t="shared" ref="N185:N194" si="18">IFERROR(M185/K185-1,"-")</f>
        <v>-0.23976608187134507</v>
      </c>
    </row>
    <row r="186" spans="1:15" x14ac:dyDescent="0.25">
      <c r="B186" s="145" t="s">
        <v>75</v>
      </c>
      <c r="C186" s="146">
        <v>29</v>
      </c>
      <c r="D186" s="147">
        <v>-0.546875</v>
      </c>
      <c r="E186" s="146">
        <v>14</v>
      </c>
      <c r="F186" s="147">
        <f t="shared" si="17"/>
        <v>-0.51724137931034475</v>
      </c>
      <c r="G186" s="146">
        <v>81</v>
      </c>
      <c r="H186" s="147">
        <f t="shared" si="17"/>
        <v>4.7857142857142856</v>
      </c>
      <c r="I186" s="146">
        <v>33</v>
      </c>
      <c r="J186" s="147">
        <f t="shared" si="17"/>
        <v>-0.59259259259259256</v>
      </c>
      <c r="K186" s="146">
        <v>95</v>
      </c>
      <c r="L186" s="147">
        <f t="shared" si="17"/>
        <v>1.8787878787878789</v>
      </c>
      <c r="M186" s="146">
        <v>92</v>
      </c>
      <c r="N186" s="147">
        <f t="shared" si="18"/>
        <v>-3.157894736842104E-2</v>
      </c>
    </row>
    <row r="187" spans="1:15" x14ac:dyDescent="0.25">
      <c r="B187" s="145" t="s">
        <v>77</v>
      </c>
      <c r="C187" s="146">
        <v>32</v>
      </c>
      <c r="D187" s="147">
        <v>-0.47540983606557374</v>
      </c>
      <c r="E187" s="146">
        <v>12</v>
      </c>
      <c r="F187" s="147">
        <f t="shared" si="17"/>
        <v>-0.625</v>
      </c>
      <c r="G187" s="146">
        <v>80</v>
      </c>
      <c r="H187" s="147">
        <f t="shared" si="17"/>
        <v>5.666666666666667</v>
      </c>
      <c r="I187" s="146">
        <v>71</v>
      </c>
      <c r="J187" s="147">
        <f t="shared" si="17"/>
        <v>-0.11250000000000004</v>
      </c>
      <c r="K187" s="146">
        <v>93</v>
      </c>
      <c r="L187" s="147">
        <f t="shared" si="17"/>
        <v>0.3098591549295775</v>
      </c>
      <c r="M187" s="146">
        <v>112</v>
      </c>
      <c r="N187" s="147">
        <f t="shared" si="18"/>
        <v>0.20430107526881724</v>
      </c>
    </row>
    <row r="188" spans="1:15" x14ac:dyDescent="0.25">
      <c r="B188" s="145" t="s">
        <v>79</v>
      </c>
      <c r="C188" s="146">
        <v>0</v>
      </c>
      <c r="D188" s="147">
        <v>-1</v>
      </c>
      <c r="E188" s="146">
        <v>35</v>
      </c>
      <c r="F188" s="147" t="str">
        <f t="shared" si="17"/>
        <v>-</v>
      </c>
      <c r="G188" s="146">
        <v>60</v>
      </c>
      <c r="H188" s="147">
        <f t="shared" si="17"/>
        <v>0.71428571428571419</v>
      </c>
      <c r="I188" s="146">
        <v>44</v>
      </c>
      <c r="J188" s="147">
        <f t="shared" si="17"/>
        <v>-0.26666666666666672</v>
      </c>
      <c r="K188" s="146">
        <v>87</v>
      </c>
      <c r="L188" s="147">
        <f t="shared" si="17"/>
        <v>0.97727272727272729</v>
      </c>
      <c r="M188" s="146">
        <v>94</v>
      </c>
      <c r="N188" s="147">
        <f t="shared" si="18"/>
        <v>8.0459770114942541E-2</v>
      </c>
    </row>
    <row r="189" spans="1:15" x14ac:dyDescent="0.25">
      <c r="B189" s="145" t="s">
        <v>81</v>
      </c>
      <c r="C189" s="146">
        <v>0</v>
      </c>
      <c r="D189" s="147">
        <v>-1</v>
      </c>
      <c r="E189" s="146">
        <v>44</v>
      </c>
      <c r="F189" s="147" t="str">
        <f t="shared" si="17"/>
        <v>-</v>
      </c>
      <c r="G189" s="146">
        <v>32</v>
      </c>
      <c r="H189" s="147">
        <f t="shared" si="17"/>
        <v>-0.27272727272727271</v>
      </c>
      <c r="I189" s="146">
        <v>32</v>
      </c>
      <c r="J189" s="147">
        <f t="shared" si="17"/>
        <v>0</v>
      </c>
      <c r="K189" s="146">
        <v>49</v>
      </c>
      <c r="L189" s="147">
        <f t="shared" si="17"/>
        <v>0.53125</v>
      </c>
      <c r="M189" s="146">
        <v>38</v>
      </c>
      <c r="N189" s="147">
        <f t="shared" si="18"/>
        <v>-0.22448979591836737</v>
      </c>
    </row>
    <row r="190" spans="1:15" x14ac:dyDescent="0.25">
      <c r="B190" s="145" t="s">
        <v>122</v>
      </c>
      <c r="C190" s="146">
        <v>0</v>
      </c>
      <c r="D190" s="147">
        <v>-1</v>
      </c>
      <c r="E190" s="146">
        <v>25</v>
      </c>
      <c r="F190" s="147" t="str">
        <f t="shared" si="17"/>
        <v>-</v>
      </c>
      <c r="G190" s="146">
        <v>31</v>
      </c>
      <c r="H190" s="147">
        <f t="shared" si="17"/>
        <v>0.24</v>
      </c>
      <c r="I190" s="146">
        <v>32</v>
      </c>
      <c r="J190" s="147">
        <f t="shared" si="17"/>
        <v>3.2258064516129004E-2</v>
      </c>
      <c r="K190" s="146">
        <v>19</v>
      </c>
      <c r="L190" s="147">
        <f t="shared" si="17"/>
        <v>-0.40625</v>
      </c>
      <c r="M190" s="146">
        <v>18</v>
      </c>
      <c r="N190" s="147">
        <f t="shared" si="18"/>
        <v>-5.2631578947368474E-2</v>
      </c>
    </row>
    <row r="191" spans="1:15" x14ac:dyDescent="0.25">
      <c r="B191" s="145" t="s">
        <v>85</v>
      </c>
      <c r="C191" s="146">
        <v>0</v>
      </c>
      <c r="D191" s="147">
        <v>-1</v>
      </c>
      <c r="E191" s="146">
        <v>43</v>
      </c>
      <c r="F191" s="147" t="str">
        <f t="shared" si="17"/>
        <v>-</v>
      </c>
      <c r="G191" s="146">
        <v>61</v>
      </c>
      <c r="H191" s="147">
        <f t="shared" si="17"/>
        <v>0.41860465116279078</v>
      </c>
      <c r="I191" s="146">
        <v>43</v>
      </c>
      <c r="J191" s="147">
        <f t="shared" si="17"/>
        <v>-0.29508196721311475</v>
      </c>
      <c r="K191" s="146">
        <v>25</v>
      </c>
      <c r="L191" s="147">
        <f t="shared" si="17"/>
        <v>-0.41860465116279066</v>
      </c>
      <c r="M191" s="146">
        <v>39</v>
      </c>
      <c r="N191" s="147">
        <f t="shared" si="18"/>
        <v>0.56000000000000005</v>
      </c>
    </row>
    <row r="192" spans="1:15" x14ac:dyDescent="0.25">
      <c r="B192" s="145" t="s">
        <v>87</v>
      </c>
      <c r="C192" s="146">
        <v>45</v>
      </c>
      <c r="D192" s="147">
        <v>1.0454545454545454</v>
      </c>
      <c r="E192" s="146">
        <v>39</v>
      </c>
      <c r="F192" s="147">
        <f t="shared" si="17"/>
        <v>-0.1333333333333333</v>
      </c>
      <c r="G192" s="146">
        <v>59</v>
      </c>
      <c r="H192" s="147">
        <f t="shared" si="17"/>
        <v>0.51282051282051277</v>
      </c>
      <c r="I192" s="146">
        <v>49</v>
      </c>
      <c r="J192" s="147">
        <f t="shared" si="17"/>
        <v>-0.16949152542372881</v>
      </c>
      <c r="K192" s="146">
        <v>59</v>
      </c>
      <c r="L192" s="147">
        <f t="shared" si="17"/>
        <v>0.20408163265306123</v>
      </c>
      <c r="M192" s="146">
        <v>37</v>
      </c>
      <c r="N192" s="147">
        <f t="shared" si="18"/>
        <v>-0.3728813559322034</v>
      </c>
    </row>
    <row r="193" spans="2:15" x14ac:dyDescent="0.25">
      <c r="B193" s="145" t="s">
        <v>89</v>
      </c>
      <c r="C193" s="146">
        <v>40</v>
      </c>
      <c r="D193" s="147">
        <v>1.5</v>
      </c>
      <c r="E193" s="146">
        <v>36</v>
      </c>
      <c r="F193" s="147">
        <f t="shared" si="17"/>
        <v>-9.9999999999999978E-2</v>
      </c>
      <c r="G193" s="146">
        <v>30</v>
      </c>
      <c r="H193" s="147">
        <f t="shared" si="17"/>
        <v>-0.16666666666666663</v>
      </c>
      <c r="I193" s="146">
        <v>41</v>
      </c>
      <c r="J193" s="147">
        <f t="shared" si="17"/>
        <v>0.3666666666666667</v>
      </c>
      <c r="K193" s="146">
        <v>41</v>
      </c>
      <c r="L193" s="147">
        <f t="shared" si="17"/>
        <v>0</v>
      </c>
      <c r="M193" s="146">
        <v>44</v>
      </c>
      <c r="N193" s="147">
        <f t="shared" si="18"/>
        <v>7.3170731707317138E-2</v>
      </c>
    </row>
    <row r="194" spans="2:15" x14ac:dyDescent="0.25">
      <c r="B194" s="145" t="s">
        <v>91</v>
      </c>
      <c r="C194" s="146">
        <v>39</v>
      </c>
      <c r="D194" s="147">
        <v>0.44444444444444442</v>
      </c>
      <c r="E194" s="146">
        <v>62</v>
      </c>
      <c r="F194" s="147">
        <f t="shared" si="17"/>
        <v>0.58974358974358965</v>
      </c>
      <c r="G194" s="146">
        <v>37</v>
      </c>
      <c r="H194" s="147">
        <f t="shared" si="17"/>
        <v>-0.40322580645161288</v>
      </c>
      <c r="I194" s="146">
        <v>40</v>
      </c>
      <c r="J194" s="147">
        <f t="shared" si="17"/>
        <v>8.1081081081081141E-2</v>
      </c>
      <c r="K194" s="146">
        <v>57</v>
      </c>
      <c r="L194" s="147">
        <f t="shared" si="17"/>
        <v>0.42500000000000004</v>
      </c>
      <c r="M194" s="146">
        <v>66</v>
      </c>
      <c r="N194" s="147">
        <f t="shared" si="18"/>
        <v>0.15789473684210531</v>
      </c>
    </row>
    <row r="195" spans="2:15" x14ac:dyDescent="0.25">
      <c r="B195" s="145" t="s">
        <v>93</v>
      </c>
      <c r="C195" s="146">
        <v>51</v>
      </c>
      <c r="D195" s="147">
        <v>-0.35443037974683544</v>
      </c>
      <c r="E195" s="146">
        <v>104</v>
      </c>
      <c r="F195" s="147">
        <f t="shared" si="17"/>
        <v>1.0392156862745097</v>
      </c>
      <c r="G195" s="146">
        <v>70</v>
      </c>
      <c r="H195" s="147">
        <f t="shared" si="17"/>
        <v>-0.32692307692307687</v>
      </c>
      <c r="I195" s="146">
        <v>105</v>
      </c>
      <c r="J195" s="147">
        <f t="shared" si="17"/>
        <v>0.5</v>
      </c>
      <c r="K195" s="146">
        <v>64</v>
      </c>
      <c r="L195" s="147">
        <f t="shared" si="17"/>
        <v>-0.39047619047619042</v>
      </c>
      <c r="M195" s="146"/>
      <c r="N195" s="147"/>
    </row>
    <row r="196" spans="2:15" x14ac:dyDescent="0.25">
      <c r="B196" s="145" t="s">
        <v>95</v>
      </c>
      <c r="C196" s="146">
        <v>20</v>
      </c>
      <c r="D196" s="147">
        <v>-0.5</v>
      </c>
      <c r="E196" s="146">
        <v>69</v>
      </c>
      <c r="F196" s="147">
        <f t="shared" si="17"/>
        <v>2.4500000000000002</v>
      </c>
      <c r="G196" s="146">
        <v>52</v>
      </c>
      <c r="H196" s="147">
        <f t="shared" si="17"/>
        <v>-0.24637681159420288</v>
      </c>
      <c r="I196" s="146">
        <v>79</v>
      </c>
      <c r="J196" s="147">
        <f t="shared" si="17"/>
        <v>0.51923076923076916</v>
      </c>
      <c r="K196" s="146">
        <v>143</v>
      </c>
      <c r="L196" s="147">
        <f t="shared" si="17"/>
        <v>0.81012658227848111</v>
      </c>
      <c r="M196" s="146"/>
      <c r="N196" s="147"/>
    </row>
    <row r="197" spans="2:15" ht="15.75" x14ac:dyDescent="0.25">
      <c r="B197" s="148" t="s">
        <v>32</v>
      </c>
      <c r="C197" s="149">
        <v>351</v>
      </c>
      <c r="D197" s="150">
        <v>-0.32369942196531787</v>
      </c>
      <c r="E197" s="149">
        <v>507</v>
      </c>
      <c r="F197" s="150">
        <f t="shared" si="17"/>
        <v>0.44444444444444442</v>
      </c>
      <c r="G197" s="149">
        <v>682</v>
      </c>
      <c r="H197" s="150">
        <f t="shared" si="17"/>
        <v>0.34516765285996054</v>
      </c>
      <c r="I197" s="149">
        <v>650</v>
      </c>
      <c r="J197" s="150">
        <f t="shared" si="17"/>
        <v>-4.692082111436946E-2</v>
      </c>
      <c r="K197" s="149">
        <v>903</v>
      </c>
      <c r="L197" s="150">
        <f t="shared" si="17"/>
        <v>0.38923076923076927</v>
      </c>
      <c r="M197" s="149">
        <v>670</v>
      </c>
      <c r="N197" s="150">
        <v>-3.7356321839080442E-2</v>
      </c>
    </row>
    <row r="198" spans="2:15" ht="6" customHeight="1" x14ac:dyDescent="0.25"/>
    <row r="199" spans="2:15" x14ac:dyDescent="0.25">
      <c r="B199" s="131" t="s">
        <v>57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K200" s="151"/>
    </row>
    <row r="201" spans="2:15" x14ac:dyDescent="0.25"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</row>
    <row r="202" spans="2:15" ht="48.75" customHeight="1" thickBot="1" x14ac:dyDescent="0.3">
      <c r="B202" s="12" t="s">
        <v>248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123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124</v>
      </c>
    </row>
    <row r="204" spans="2:15" ht="22.5" thickTop="1" thickBot="1" x14ac:dyDescent="0.3">
      <c r="B204" s="152" t="str">
        <f>C204</f>
        <v>Países Bajos</v>
      </c>
      <c r="C204" s="135" t="s">
        <v>125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f>C$7</f>
        <v>2020</v>
      </c>
      <c r="D205" s="139"/>
      <c r="E205" s="138">
        <f>E$7</f>
        <v>2021</v>
      </c>
      <c r="F205" s="139"/>
      <c r="G205" s="138">
        <f>G$7</f>
        <v>2022</v>
      </c>
      <c r="H205" s="139"/>
      <c r="I205" s="138">
        <f>I$7</f>
        <v>2023</v>
      </c>
      <c r="J205" s="139"/>
      <c r="K205" s="138">
        <f>K$7</f>
        <v>2024</v>
      </c>
      <c r="L205" s="139"/>
      <c r="M205" s="138">
        <f>M$7</f>
        <v>2025</v>
      </c>
      <c r="N205" s="139"/>
    </row>
    <row r="206" spans="2:15" ht="16.5" thickTop="1" thickBot="1" x14ac:dyDescent="0.3">
      <c r="B206" s="109"/>
      <c r="C206" s="142" t="s">
        <v>71</v>
      </c>
      <c r="D206" s="143" t="str">
        <f>CONCATENATE("var ",RIGHT(C205,2),"/",RIGHT(C205-1,2))</f>
        <v>var 20/19</v>
      </c>
      <c r="E206" s="144" t="s">
        <v>71</v>
      </c>
      <c r="F206" s="143" t="str">
        <f>CONCATENATE("var ",RIGHT(E205,2),"/",RIGHT(E205-1,2))</f>
        <v>var 21/20</v>
      </c>
      <c r="G206" s="144" t="s">
        <v>71</v>
      </c>
      <c r="H206" s="143" t="str">
        <f>CONCATENATE("var ",RIGHT(G205,2),"/",RIGHT(G205-1,2))</f>
        <v>var 22/21</v>
      </c>
      <c r="I206" s="144" t="s">
        <v>71</v>
      </c>
      <c r="J206" s="143" t="str">
        <f>CONCATENATE("var ",RIGHT(I205,2),"/",RIGHT(I205-1,2))</f>
        <v>var 23/22</v>
      </c>
      <c r="K206" s="144" t="s">
        <v>71</v>
      </c>
      <c r="L206" s="143" t="str">
        <f>CONCATENATE("var ",RIGHT(K205,2),"/",RIGHT(K205-1,2))</f>
        <v>var 24/23</v>
      </c>
      <c r="M206" s="144" t="s">
        <v>71</v>
      </c>
      <c r="N206" s="143" t="str">
        <f>CONCATENATE("var ",RIGHT(M205,2),"/",RIGHT(M205-1,2))</f>
        <v>var 25/24</v>
      </c>
    </row>
    <row r="207" spans="2:15" x14ac:dyDescent="0.25">
      <c r="B207" s="145" t="s">
        <v>73</v>
      </c>
      <c r="C207" s="146">
        <v>89</v>
      </c>
      <c r="D207" s="147">
        <v>0.11250000000000004</v>
      </c>
      <c r="E207" s="146">
        <v>5</v>
      </c>
      <c r="F207" s="147">
        <f t="shared" ref="F207:L219" si="19">IFERROR(E207/C207-1,"-")</f>
        <v>-0.9438202247191011</v>
      </c>
      <c r="G207" s="146">
        <v>129</v>
      </c>
      <c r="H207" s="147">
        <f t="shared" si="19"/>
        <v>24.8</v>
      </c>
      <c r="I207" s="146">
        <v>137</v>
      </c>
      <c r="J207" s="147">
        <f t="shared" si="19"/>
        <v>6.2015503875969102E-2</v>
      </c>
      <c r="K207" s="146">
        <v>154</v>
      </c>
      <c r="L207" s="147">
        <f t="shared" si="19"/>
        <v>0.12408759124087587</v>
      </c>
      <c r="M207" s="146">
        <v>182</v>
      </c>
      <c r="N207" s="147">
        <f t="shared" ref="N207:N216" si="20">IFERROR(M207/K207-1,"-")</f>
        <v>0.18181818181818188</v>
      </c>
    </row>
    <row r="208" spans="2:15" x14ac:dyDescent="0.25">
      <c r="B208" s="145" t="s">
        <v>75</v>
      </c>
      <c r="C208" s="146">
        <v>153</v>
      </c>
      <c r="D208" s="147">
        <v>2.1875</v>
      </c>
      <c r="E208" s="146">
        <v>10</v>
      </c>
      <c r="F208" s="147">
        <f t="shared" si="19"/>
        <v>-0.934640522875817</v>
      </c>
      <c r="G208" s="146">
        <v>117</v>
      </c>
      <c r="H208" s="147">
        <f t="shared" si="19"/>
        <v>10.7</v>
      </c>
      <c r="I208" s="146">
        <v>88</v>
      </c>
      <c r="J208" s="147">
        <f t="shared" si="19"/>
        <v>-0.24786324786324787</v>
      </c>
      <c r="K208" s="146">
        <v>146</v>
      </c>
      <c r="L208" s="147">
        <f t="shared" si="19"/>
        <v>0.65909090909090917</v>
      </c>
      <c r="M208" s="146">
        <v>134</v>
      </c>
      <c r="N208" s="147">
        <f t="shared" si="20"/>
        <v>-8.2191780821917804E-2</v>
      </c>
    </row>
    <row r="209" spans="2:15" x14ac:dyDescent="0.25">
      <c r="B209" s="145" t="s">
        <v>77</v>
      </c>
      <c r="C209" s="146">
        <v>23</v>
      </c>
      <c r="D209" s="147">
        <v>-0.77450980392156865</v>
      </c>
      <c r="E209" s="146">
        <v>22</v>
      </c>
      <c r="F209" s="147">
        <f t="shared" si="19"/>
        <v>-4.3478260869565188E-2</v>
      </c>
      <c r="G209" s="146">
        <v>156</v>
      </c>
      <c r="H209" s="147">
        <f t="shared" si="19"/>
        <v>6.0909090909090908</v>
      </c>
      <c r="I209" s="146">
        <v>155</v>
      </c>
      <c r="J209" s="147">
        <f t="shared" si="19"/>
        <v>-6.4102564102563875E-3</v>
      </c>
      <c r="K209" s="146">
        <v>158</v>
      </c>
      <c r="L209" s="147">
        <f t="shared" si="19"/>
        <v>1.9354838709677358E-2</v>
      </c>
      <c r="M209" s="146">
        <v>109</v>
      </c>
      <c r="N209" s="147">
        <f t="shared" si="20"/>
        <v>-0.310126582278481</v>
      </c>
    </row>
    <row r="210" spans="2:15" x14ac:dyDescent="0.25">
      <c r="B210" s="145" t="s">
        <v>79</v>
      </c>
      <c r="C210" s="146">
        <v>0</v>
      </c>
      <c r="D210" s="147">
        <v>-1</v>
      </c>
      <c r="E210" s="146">
        <v>12</v>
      </c>
      <c r="F210" s="147" t="str">
        <f t="shared" si="19"/>
        <v>-</v>
      </c>
      <c r="G210" s="146">
        <v>104</v>
      </c>
      <c r="H210" s="147">
        <f t="shared" si="19"/>
        <v>7.6666666666666661</v>
      </c>
      <c r="I210" s="146">
        <v>80</v>
      </c>
      <c r="J210" s="147">
        <f t="shared" si="19"/>
        <v>-0.23076923076923073</v>
      </c>
      <c r="K210" s="146">
        <v>62</v>
      </c>
      <c r="L210" s="147">
        <f t="shared" si="19"/>
        <v>-0.22499999999999998</v>
      </c>
      <c r="M210" s="146">
        <v>48</v>
      </c>
      <c r="N210" s="147">
        <f t="shared" si="20"/>
        <v>-0.22580645161290325</v>
      </c>
    </row>
    <row r="211" spans="2:15" x14ac:dyDescent="0.25">
      <c r="B211" s="145" t="s">
        <v>81</v>
      </c>
      <c r="C211" s="146">
        <v>0</v>
      </c>
      <c r="D211" s="147">
        <v>-1</v>
      </c>
      <c r="E211" s="146">
        <v>18</v>
      </c>
      <c r="F211" s="147" t="str">
        <f t="shared" si="19"/>
        <v>-</v>
      </c>
      <c r="G211" s="146">
        <v>81</v>
      </c>
      <c r="H211" s="147">
        <f t="shared" si="19"/>
        <v>3.5</v>
      </c>
      <c r="I211" s="146">
        <v>41</v>
      </c>
      <c r="J211" s="147">
        <f t="shared" si="19"/>
        <v>-0.49382716049382713</v>
      </c>
      <c r="K211" s="146">
        <v>42</v>
      </c>
      <c r="L211" s="147">
        <f t="shared" si="19"/>
        <v>2.4390243902439046E-2</v>
      </c>
      <c r="M211" s="146">
        <v>70</v>
      </c>
      <c r="N211" s="147">
        <f t="shared" si="20"/>
        <v>0.66666666666666674</v>
      </c>
    </row>
    <row r="212" spans="2:15" x14ac:dyDescent="0.25">
      <c r="B212" s="145" t="s">
        <v>83</v>
      </c>
      <c r="C212" s="146">
        <v>0</v>
      </c>
      <c r="D212" s="147">
        <v>-1</v>
      </c>
      <c r="E212" s="146">
        <v>17</v>
      </c>
      <c r="F212" s="147" t="str">
        <f t="shared" si="19"/>
        <v>-</v>
      </c>
      <c r="G212" s="146">
        <v>85</v>
      </c>
      <c r="H212" s="147">
        <f t="shared" si="19"/>
        <v>4</v>
      </c>
      <c r="I212" s="146">
        <v>30</v>
      </c>
      <c r="J212" s="147">
        <f t="shared" si="19"/>
        <v>-0.64705882352941169</v>
      </c>
      <c r="K212" s="146">
        <v>36</v>
      </c>
      <c r="L212" s="147">
        <f t="shared" si="19"/>
        <v>0.19999999999999996</v>
      </c>
      <c r="M212" s="146">
        <v>33</v>
      </c>
      <c r="N212" s="147">
        <f t="shared" si="20"/>
        <v>-8.333333333333337E-2</v>
      </c>
    </row>
    <row r="213" spans="2:15" x14ac:dyDescent="0.25">
      <c r="B213" s="145" t="s">
        <v>85</v>
      </c>
      <c r="C213" s="146">
        <v>0</v>
      </c>
      <c r="D213" s="147">
        <v>-1</v>
      </c>
      <c r="E213" s="146">
        <v>15</v>
      </c>
      <c r="F213" s="147" t="str">
        <f t="shared" si="19"/>
        <v>-</v>
      </c>
      <c r="G213" s="146">
        <v>42</v>
      </c>
      <c r="H213" s="147">
        <f t="shared" si="19"/>
        <v>1.7999999999999998</v>
      </c>
      <c r="I213" s="146">
        <v>38</v>
      </c>
      <c r="J213" s="147">
        <f t="shared" si="19"/>
        <v>-9.5238095238095233E-2</v>
      </c>
      <c r="K213" s="146">
        <v>29</v>
      </c>
      <c r="L213" s="147">
        <f t="shared" si="19"/>
        <v>-0.23684210526315785</v>
      </c>
      <c r="M213" s="146">
        <v>46</v>
      </c>
      <c r="N213" s="147">
        <f t="shared" si="20"/>
        <v>0.5862068965517242</v>
      </c>
    </row>
    <row r="214" spans="2:15" x14ac:dyDescent="0.25">
      <c r="B214" s="145" t="s">
        <v>87</v>
      </c>
      <c r="C214" s="146">
        <v>9</v>
      </c>
      <c r="D214" s="147">
        <v>-0.76315789473684215</v>
      </c>
      <c r="E214" s="146">
        <v>24</v>
      </c>
      <c r="F214" s="147">
        <f t="shared" si="19"/>
        <v>1.6666666666666665</v>
      </c>
      <c r="G214" s="146">
        <v>106</v>
      </c>
      <c r="H214" s="147">
        <f t="shared" si="19"/>
        <v>3.416666666666667</v>
      </c>
      <c r="I214" s="146">
        <v>46</v>
      </c>
      <c r="J214" s="147">
        <f t="shared" si="19"/>
        <v>-0.56603773584905659</v>
      </c>
      <c r="K214" s="146">
        <v>43</v>
      </c>
      <c r="L214" s="147">
        <f t="shared" si="19"/>
        <v>-6.5217391304347783E-2</v>
      </c>
      <c r="M214" s="146">
        <v>23</v>
      </c>
      <c r="N214" s="147">
        <f t="shared" si="20"/>
        <v>-0.46511627906976749</v>
      </c>
    </row>
    <row r="215" spans="2:15" x14ac:dyDescent="0.25">
      <c r="B215" s="145" t="s">
        <v>89</v>
      </c>
      <c r="C215" s="146">
        <v>6</v>
      </c>
      <c r="D215" s="147">
        <v>-0.7931034482758621</v>
      </c>
      <c r="E215" s="146">
        <v>39</v>
      </c>
      <c r="F215" s="147">
        <f t="shared" si="19"/>
        <v>5.5</v>
      </c>
      <c r="G215" s="146">
        <v>66</v>
      </c>
      <c r="H215" s="147">
        <f t="shared" si="19"/>
        <v>0.69230769230769229</v>
      </c>
      <c r="I215" s="146">
        <v>31</v>
      </c>
      <c r="J215" s="147">
        <f t="shared" si="19"/>
        <v>-0.53030303030303028</v>
      </c>
      <c r="K215" s="146">
        <v>31</v>
      </c>
      <c r="L215" s="147">
        <f t="shared" si="19"/>
        <v>0</v>
      </c>
      <c r="M215" s="146">
        <v>22</v>
      </c>
      <c r="N215" s="147">
        <f t="shared" si="20"/>
        <v>-0.29032258064516125</v>
      </c>
    </row>
    <row r="216" spans="2:15" x14ac:dyDescent="0.25">
      <c r="B216" s="145" t="s">
        <v>91</v>
      </c>
      <c r="C216" s="146">
        <v>4</v>
      </c>
      <c r="D216" s="147">
        <v>-0.94366197183098588</v>
      </c>
      <c r="E216" s="146">
        <v>46</v>
      </c>
      <c r="F216" s="147">
        <f t="shared" si="19"/>
        <v>10.5</v>
      </c>
      <c r="G216" s="146">
        <v>72</v>
      </c>
      <c r="H216" s="147">
        <f t="shared" si="19"/>
        <v>0.56521739130434789</v>
      </c>
      <c r="I216" s="146">
        <v>65</v>
      </c>
      <c r="J216" s="147">
        <f t="shared" si="19"/>
        <v>-9.722222222222221E-2</v>
      </c>
      <c r="K216" s="146">
        <v>79</v>
      </c>
      <c r="L216" s="147">
        <f t="shared" si="19"/>
        <v>0.21538461538461529</v>
      </c>
      <c r="M216" s="146">
        <v>53</v>
      </c>
      <c r="N216" s="147">
        <f t="shared" si="20"/>
        <v>-0.32911392405063289</v>
      </c>
    </row>
    <row r="217" spans="2:15" x14ac:dyDescent="0.25">
      <c r="B217" s="145" t="s">
        <v>93</v>
      </c>
      <c r="C217" s="146">
        <v>18</v>
      </c>
      <c r="D217" s="147">
        <v>-0.83018867924528306</v>
      </c>
      <c r="E217" s="146">
        <v>117</v>
      </c>
      <c r="F217" s="147">
        <f t="shared" si="19"/>
        <v>5.5</v>
      </c>
      <c r="G217" s="146">
        <v>93</v>
      </c>
      <c r="H217" s="147">
        <f t="shared" si="19"/>
        <v>-0.20512820512820518</v>
      </c>
      <c r="I217" s="146">
        <v>114</v>
      </c>
      <c r="J217" s="147">
        <f t="shared" si="19"/>
        <v>0.22580645161290325</v>
      </c>
      <c r="K217" s="146">
        <v>78</v>
      </c>
      <c r="L217" s="147">
        <f t="shared" si="19"/>
        <v>-0.31578947368421051</v>
      </c>
      <c r="M217" s="146"/>
      <c r="N217" s="147"/>
    </row>
    <row r="218" spans="2:15" x14ac:dyDescent="0.25">
      <c r="B218" s="145" t="s">
        <v>95</v>
      </c>
      <c r="C218" s="146">
        <v>14</v>
      </c>
      <c r="D218" s="147">
        <v>-0.82499999999999996</v>
      </c>
      <c r="E218" s="146">
        <v>107</v>
      </c>
      <c r="F218" s="147">
        <f t="shared" si="19"/>
        <v>6.6428571428571432</v>
      </c>
      <c r="G218" s="146">
        <v>121</v>
      </c>
      <c r="H218" s="147">
        <f t="shared" si="19"/>
        <v>0.13084112149532712</v>
      </c>
      <c r="I218" s="146">
        <v>113</v>
      </c>
      <c r="J218" s="147">
        <f t="shared" si="19"/>
        <v>-6.6115702479338845E-2</v>
      </c>
      <c r="K218" s="146">
        <v>75</v>
      </c>
      <c r="L218" s="147">
        <f t="shared" si="19"/>
        <v>-0.33628318584070793</v>
      </c>
      <c r="M218" s="146"/>
      <c r="N218" s="147"/>
    </row>
    <row r="219" spans="2:15" ht="15.75" x14ac:dyDescent="0.25">
      <c r="B219" s="148" t="s">
        <v>32</v>
      </c>
      <c r="C219" s="149">
        <v>323</v>
      </c>
      <c r="D219" s="150">
        <v>-0.53791130185979974</v>
      </c>
      <c r="E219" s="149">
        <v>432</v>
      </c>
      <c r="F219" s="150">
        <f t="shared" si="19"/>
        <v>0.33746130030959742</v>
      </c>
      <c r="G219" s="149">
        <v>1172</v>
      </c>
      <c r="H219" s="150">
        <f t="shared" si="19"/>
        <v>1.7129629629629628</v>
      </c>
      <c r="I219" s="149">
        <v>938</v>
      </c>
      <c r="J219" s="150">
        <f t="shared" si="19"/>
        <v>-0.19965870307167233</v>
      </c>
      <c r="K219" s="149">
        <v>933</v>
      </c>
      <c r="L219" s="150">
        <f t="shared" si="19"/>
        <v>-5.3304904051172386E-3</v>
      </c>
      <c r="M219" s="149">
        <v>720</v>
      </c>
      <c r="N219" s="150">
        <v>-7.6923076923076872E-2</v>
      </c>
    </row>
    <row r="220" spans="2:15" ht="6" customHeight="1" x14ac:dyDescent="0.25"/>
    <row r="221" spans="2:15" x14ac:dyDescent="0.25">
      <c r="B221" s="131" t="s">
        <v>57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K222" s="151"/>
      <c r="M222" s="153"/>
    </row>
    <row r="224" spans="2:15" ht="48.75" customHeight="1" thickBot="1" x14ac:dyDescent="0.3">
      <c r="B224" s="12" t="s">
        <v>247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126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127</v>
      </c>
    </row>
    <row r="226" spans="2:15" ht="22.5" thickTop="1" thickBot="1" x14ac:dyDescent="0.3">
      <c r="B226" s="152" t="str">
        <f>C226</f>
        <v>Bélgica</v>
      </c>
      <c r="C226" s="135" t="s">
        <v>121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f>C$7</f>
        <v>2020</v>
      </c>
      <c r="D227" s="139"/>
      <c r="E227" s="138">
        <f>E$7</f>
        <v>2021</v>
      </c>
      <c r="F227" s="139"/>
      <c r="G227" s="138">
        <f>G$7</f>
        <v>2022</v>
      </c>
      <c r="H227" s="139"/>
      <c r="I227" s="138">
        <f>I$7</f>
        <v>2023</v>
      </c>
      <c r="J227" s="139"/>
      <c r="K227" s="138">
        <f>K$7</f>
        <v>2024</v>
      </c>
      <c r="L227" s="139"/>
      <c r="M227" s="138">
        <f>M$7</f>
        <v>2025</v>
      </c>
      <c r="N227" s="139"/>
    </row>
    <row r="228" spans="2:15" ht="16.5" thickTop="1" thickBot="1" x14ac:dyDescent="0.3">
      <c r="B228" s="109"/>
      <c r="C228" s="142" t="s">
        <v>71</v>
      </c>
      <c r="D228" s="143" t="str">
        <f>CONCATENATE("var ",RIGHT(C227,2),"/",RIGHT(C227-1,2))</f>
        <v>var 20/19</v>
      </c>
      <c r="E228" s="144" t="s">
        <v>71</v>
      </c>
      <c r="F228" s="143" t="str">
        <f>CONCATENATE("var ",RIGHT(E227,2),"/",RIGHT(E227-1,2))</f>
        <v>var 21/20</v>
      </c>
      <c r="G228" s="144" t="s">
        <v>71</v>
      </c>
      <c r="H228" s="143" t="str">
        <f>CONCATENATE("var ",RIGHT(G227,2),"/",RIGHT(G227-1,2))</f>
        <v>var 22/21</v>
      </c>
      <c r="I228" s="144" t="s">
        <v>71</v>
      </c>
      <c r="J228" s="143" t="str">
        <f>CONCATENATE("var ",RIGHT(I227,2),"/",RIGHT(I227-1,2))</f>
        <v>var 23/22</v>
      </c>
      <c r="K228" s="144" t="s">
        <v>71</v>
      </c>
      <c r="L228" s="143" t="str">
        <f>CONCATENATE("var ",RIGHT(K227,2),"/",RIGHT(K227-1,2))</f>
        <v>var 24/23</v>
      </c>
      <c r="M228" s="144" t="s">
        <v>71</v>
      </c>
      <c r="N228" s="143" t="str">
        <f>CONCATENATE("var ",RIGHT(M227,2),"/",RIGHT(M227-1,2))</f>
        <v>var 25/24</v>
      </c>
    </row>
    <row r="229" spans="2:15" x14ac:dyDescent="0.25">
      <c r="B229" s="145" t="s">
        <v>73</v>
      </c>
      <c r="C229" s="146">
        <v>71</v>
      </c>
      <c r="D229" s="147">
        <v>-4.0540540540540571E-2</v>
      </c>
      <c r="E229" s="146">
        <v>24</v>
      </c>
      <c r="F229" s="147">
        <f t="shared" ref="F229:L241" si="21">IFERROR(E229/C229-1,"-")</f>
        <v>-0.6619718309859155</v>
      </c>
      <c r="G229" s="146">
        <v>89</v>
      </c>
      <c r="H229" s="147">
        <f t="shared" si="21"/>
        <v>2.7083333333333335</v>
      </c>
      <c r="I229" s="146">
        <v>81</v>
      </c>
      <c r="J229" s="147">
        <f t="shared" si="21"/>
        <v>-8.98876404494382E-2</v>
      </c>
      <c r="K229" s="146">
        <v>171</v>
      </c>
      <c r="L229" s="147">
        <f t="shared" si="21"/>
        <v>1.1111111111111112</v>
      </c>
      <c r="M229" s="146">
        <v>130</v>
      </c>
      <c r="N229" s="147">
        <f t="shared" ref="N229:N238" si="22">IFERROR(M229/K229-1,"-")</f>
        <v>-0.23976608187134507</v>
      </c>
    </row>
    <row r="230" spans="2:15" x14ac:dyDescent="0.25">
      <c r="B230" s="145" t="s">
        <v>75</v>
      </c>
      <c r="C230" s="146">
        <v>29</v>
      </c>
      <c r="D230" s="147">
        <v>-0.546875</v>
      </c>
      <c r="E230" s="146">
        <v>14</v>
      </c>
      <c r="F230" s="147">
        <f t="shared" si="21"/>
        <v>-0.51724137931034475</v>
      </c>
      <c r="G230" s="146">
        <v>81</v>
      </c>
      <c r="H230" s="147">
        <f t="shared" si="21"/>
        <v>4.7857142857142856</v>
      </c>
      <c r="I230" s="146">
        <v>33</v>
      </c>
      <c r="J230" s="147">
        <f t="shared" si="21"/>
        <v>-0.59259259259259256</v>
      </c>
      <c r="K230" s="146">
        <v>95</v>
      </c>
      <c r="L230" s="147">
        <f t="shared" si="21"/>
        <v>1.8787878787878789</v>
      </c>
      <c r="M230" s="146">
        <v>92</v>
      </c>
      <c r="N230" s="147">
        <f t="shared" si="22"/>
        <v>-3.157894736842104E-2</v>
      </c>
    </row>
    <row r="231" spans="2:15" x14ac:dyDescent="0.25">
      <c r="B231" s="145" t="s">
        <v>77</v>
      </c>
      <c r="C231" s="146">
        <v>32</v>
      </c>
      <c r="D231" s="147">
        <v>-0.47540983606557374</v>
      </c>
      <c r="E231" s="146">
        <v>12</v>
      </c>
      <c r="F231" s="147">
        <f t="shared" si="21"/>
        <v>-0.625</v>
      </c>
      <c r="G231" s="146">
        <v>80</v>
      </c>
      <c r="H231" s="147">
        <f t="shared" si="21"/>
        <v>5.666666666666667</v>
      </c>
      <c r="I231" s="146">
        <v>71</v>
      </c>
      <c r="J231" s="147">
        <f t="shared" si="21"/>
        <v>-0.11250000000000004</v>
      </c>
      <c r="K231" s="146">
        <v>93</v>
      </c>
      <c r="L231" s="147">
        <f t="shared" si="21"/>
        <v>0.3098591549295775</v>
      </c>
      <c r="M231" s="146">
        <v>112</v>
      </c>
      <c r="N231" s="147">
        <f t="shared" si="22"/>
        <v>0.20430107526881724</v>
      </c>
    </row>
    <row r="232" spans="2:15" x14ac:dyDescent="0.25">
      <c r="B232" s="145" t="s">
        <v>79</v>
      </c>
      <c r="C232" s="146">
        <v>0</v>
      </c>
      <c r="D232" s="147">
        <v>-1</v>
      </c>
      <c r="E232" s="146">
        <v>35</v>
      </c>
      <c r="F232" s="147" t="str">
        <f t="shared" si="21"/>
        <v>-</v>
      </c>
      <c r="G232" s="146">
        <v>60</v>
      </c>
      <c r="H232" s="147">
        <f t="shared" si="21"/>
        <v>0.71428571428571419</v>
      </c>
      <c r="I232" s="146">
        <v>44</v>
      </c>
      <c r="J232" s="147">
        <f t="shared" si="21"/>
        <v>-0.26666666666666672</v>
      </c>
      <c r="K232" s="146">
        <v>87</v>
      </c>
      <c r="L232" s="147">
        <f t="shared" si="21"/>
        <v>0.97727272727272729</v>
      </c>
      <c r="M232" s="146">
        <v>94</v>
      </c>
      <c r="N232" s="147">
        <f t="shared" si="22"/>
        <v>8.0459770114942541E-2</v>
      </c>
    </row>
    <row r="233" spans="2:15" x14ac:dyDescent="0.25">
      <c r="B233" s="145" t="s">
        <v>81</v>
      </c>
      <c r="C233" s="146">
        <v>0</v>
      </c>
      <c r="D233" s="147">
        <v>-1</v>
      </c>
      <c r="E233" s="146">
        <v>44</v>
      </c>
      <c r="F233" s="147" t="str">
        <f t="shared" si="21"/>
        <v>-</v>
      </c>
      <c r="G233" s="146">
        <v>32</v>
      </c>
      <c r="H233" s="147">
        <f t="shared" si="21"/>
        <v>-0.27272727272727271</v>
      </c>
      <c r="I233" s="146">
        <v>32</v>
      </c>
      <c r="J233" s="147">
        <f t="shared" si="21"/>
        <v>0</v>
      </c>
      <c r="K233" s="146">
        <v>49</v>
      </c>
      <c r="L233" s="147">
        <f t="shared" si="21"/>
        <v>0.53125</v>
      </c>
      <c r="M233" s="146">
        <v>38</v>
      </c>
      <c r="N233" s="147">
        <f t="shared" si="22"/>
        <v>-0.22448979591836737</v>
      </c>
    </row>
    <row r="234" spans="2:15" x14ac:dyDescent="0.25">
      <c r="B234" s="145" t="s">
        <v>83</v>
      </c>
      <c r="C234" s="146">
        <v>0</v>
      </c>
      <c r="D234" s="147">
        <v>-1</v>
      </c>
      <c r="E234" s="146">
        <v>25</v>
      </c>
      <c r="F234" s="147" t="str">
        <f t="shared" si="21"/>
        <v>-</v>
      </c>
      <c r="G234" s="146">
        <v>31</v>
      </c>
      <c r="H234" s="147">
        <f t="shared" si="21"/>
        <v>0.24</v>
      </c>
      <c r="I234" s="146">
        <v>32</v>
      </c>
      <c r="J234" s="147">
        <f t="shared" si="21"/>
        <v>3.2258064516129004E-2</v>
      </c>
      <c r="K234" s="146">
        <v>19</v>
      </c>
      <c r="L234" s="147">
        <f t="shared" si="21"/>
        <v>-0.40625</v>
      </c>
      <c r="M234" s="146">
        <v>18</v>
      </c>
      <c r="N234" s="147">
        <f t="shared" si="22"/>
        <v>-5.2631578947368474E-2</v>
      </c>
    </row>
    <row r="235" spans="2:15" x14ac:dyDescent="0.25">
      <c r="B235" s="145" t="s">
        <v>85</v>
      </c>
      <c r="C235" s="146">
        <v>0</v>
      </c>
      <c r="D235" s="147">
        <v>-1</v>
      </c>
      <c r="E235" s="146">
        <v>43</v>
      </c>
      <c r="F235" s="147" t="str">
        <f t="shared" si="21"/>
        <v>-</v>
      </c>
      <c r="G235" s="146">
        <v>61</v>
      </c>
      <c r="H235" s="147">
        <f t="shared" si="21"/>
        <v>0.41860465116279078</v>
      </c>
      <c r="I235" s="146">
        <v>43</v>
      </c>
      <c r="J235" s="147">
        <f t="shared" si="21"/>
        <v>-0.29508196721311475</v>
      </c>
      <c r="K235" s="146">
        <v>25</v>
      </c>
      <c r="L235" s="147">
        <f t="shared" si="21"/>
        <v>-0.41860465116279066</v>
      </c>
      <c r="M235" s="146">
        <v>39</v>
      </c>
      <c r="N235" s="147">
        <f t="shared" si="22"/>
        <v>0.56000000000000005</v>
      </c>
    </row>
    <row r="236" spans="2:15" x14ac:dyDescent="0.25">
      <c r="B236" s="145" t="s">
        <v>87</v>
      </c>
      <c r="C236" s="146">
        <v>45</v>
      </c>
      <c r="D236" s="147">
        <v>1.0454545454545454</v>
      </c>
      <c r="E236" s="146">
        <v>39</v>
      </c>
      <c r="F236" s="147">
        <f t="shared" si="21"/>
        <v>-0.1333333333333333</v>
      </c>
      <c r="G236" s="146">
        <v>59</v>
      </c>
      <c r="H236" s="147">
        <f t="shared" si="21"/>
        <v>0.51282051282051277</v>
      </c>
      <c r="I236" s="146">
        <v>49</v>
      </c>
      <c r="J236" s="147">
        <f t="shared" si="21"/>
        <v>-0.16949152542372881</v>
      </c>
      <c r="K236" s="146">
        <v>59</v>
      </c>
      <c r="L236" s="147">
        <f t="shared" si="21"/>
        <v>0.20408163265306123</v>
      </c>
      <c r="M236" s="146">
        <v>37</v>
      </c>
      <c r="N236" s="147">
        <f t="shared" si="22"/>
        <v>-0.3728813559322034</v>
      </c>
    </row>
    <row r="237" spans="2:15" x14ac:dyDescent="0.25">
      <c r="B237" s="145" t="s">
        <v>89</v>
      </c>
      <c r="C237" s="146">
        <v>40</v>
      </c>
      <c r="D237" s="147">
        <v>1.5</v>
      </c>
      <c r="E237" s="146">
        <v>36</v>
      </c>
      <c r="F237" s="147">
        <f t="shared" si="21"/>
        <v>-9.9999999999999978E-2</v>
      </c>
      <c r="G237" s="146">
        <v>30</v>
      </c>
      <c r="H237" s="147">
        <f t="shared" si="21"/>
        <v>-0.16666666666666663</v>
      </c>
      <c r="I237" s="146">
        <v>41</v>
      </c>
      <c r="J237" s="147">
        <f t="shared" si="21"/>
        <v>0.3666666666666667</v>
      </c>
      <c r="K237" s="146">
        <v>41</v>
      </c>
      <c r="L237" s="147">
        <f t="shared" si="21"/>
        <v>0</v>
      </c>
      <c r="M237" s="146">
        <v>44</v>
      </c>
      <c r="N237" s="147">
        <f t="shared" si="22"/>
        <v>7.3170731707317138E-2</v>
      </c>
    </row>
    <row r="238" spans="2:15" x14ac:dyDescent="0.25">
      <c r="B238" s="145" t="s">
        <v>91</v>
      </c>
      <c r="C238" s="146">
        <v>39</v>
      </c>
      <c r="D238" s="147">
        <v>0.44444444444444442</v>
      </c>
      <c r="E238" s="146">
        <v>62</v>
      </c>
      <c r="F238" s="147">
        <f t="shared" si="21"/>
        <v>0.58974358974358965</v>
      </c>
      <c r="G238" s="146">
        <v>37</v>
      </c>
      <c r="H238" s="147">
        <f t="shared" si="21"/>
        <v>-0.40322580645161288</v>
      </c>
      <c r="I238" s="146">
        <v>40</v>
      </c>
      <c r="J238" s="147">
        <f t="shared" si="21"/>
        <v>8.1081081081081141E-2</v>
      </c>
      <c r="K238" s="146">
        <v>57</v>
      </c>
      <c r="L238" s="147">
        <f t="shared" si="21"/>
        <v>0.42500000000000004</v>
      </c>
      <c r="M238" s="146">
        <v>66</v>
      </c>
      <c r="N238" s="147">
        <f t="shared" si="22"/>
        <v>0.15789473684210531</v>
      </c>
    </row>
    <row r="239" spans="2:15" x14ac:dyDescent="0.25">
      <c r="B239" s="145" t="s">
        <v>93</v>
      </c>
      <c r="C239" s="146">
        <v>51</v>
      </c>
      <c r="D239" s="147">
        <v>-0.35443037974683544</v>
      </c>
      <c r="E239" s="146">
        <v>104</v>
      </c>
      <c r="F239" s="147">
        <f t="shared" si="21"/>
        <v>1.0392156862745097</v>
      </c>
      <c r="G239" s="146">
        <v>70</v>
      </c>
      <c r="H239" s="147">
        <f t="shared" si="21"/>
        <v>-0.32692307692307687</v>
      </c>
      <c r="I239" s="146">
        <v>105</v>
      </c>
      <c r="J239" s="147">
        <f t="shared" si="21"/>
        <v>0.5</v>
      </c>
      <c r="K239" s="146">
        <v>64</v>
      </c>
      <c r="L239" s="147">
        <f t="shared" si="21"/>
        <v>-0.39047619047619042</v>
      </c>
      <c r="M239" s="146"/>
      <c r="N239" s="147"/>
    </row>
    <row r="240" spans="2:15" x14ac:dyDescent="0.25">
      <c r="B240" s="145" t="s">
        <v>95</v>
      </c>
      <c r="C240" s="146">
        <v>20</v>
      </c>
      <c r="D240" s="147">
        <v>-0.5</v>
      </c>
      <c r="E240" s="146">
        <v>69</v>
      </c>
      <c r="F240" s="147">
        <f t="shared" si="21"/>
        <v>2.4500000000000002</v>
      </c>
      <c r="G240" s="146">
        <v>52</v>
      </c>
      <c r="H240" s="147">
        <f t="shared" si="21"/>
        <v>-0.24637681159420288</v>
      </c>
      <c r="I240" s="146">
        <v>79</v>
      </c>
      <c r="J240" s="147">
        <f t="shared" si="21"/>
        <v>0.51923076923076916</v>
      </c>
      <c r="K240" s="146">
        <v>143</v>
      </c>
      <c r="L240" s="147">
        <f t="shared" si="21"/>
        <v>0.81012658227848111</v>
      </c>
      <c r="M240" s="146"/>
      <c r="N240" s="147"/>
    </row>
    <row r="241" spans="2:15" ht="15.75" x14ac:dyDescent="0.25">
      <c r="B241" s="148" t="s">
        <v>32</v>
      </c>
      <c r="C241" s="149">
        <v>351</v>
      </c>
      <c r="D241" s="150">
        <v>-0.32369942196531787</v>
      </c>
      <c r="E241" s="149">
        <v>507</v>
      </c>
      <c r="F241" s="150">
        <f t="shared" si="21"/>
        <v>0.44444444444444442</v>
      </c>
      <c r="G241" s="149">
        <v>682</v>
      </c>
      <c r="H241" s="150">
        <f t="shared" si="21"/>
        <v>0.34516765285996054</v>
      </c>
      <c r="I241" s="149">
        <v>650</v>
      </c>
      <c r="J241" s="150">
        <f t="shared" si="21"/>
        <v>-4.692082111436946E-2</v>
      </c>
      <c r="K241" s="149">
        <v>903</v>
      </c>
      <c r="L241" s="150">
        <f t="shared" si="21"/>
        <v>0.38923076923076927</v>
      </c>
      <c r="M241" s="149">
        <v>670</v>
      </c>
      <c r="N241" s="150">
        <v>-3.7356321839080442E-2</v>
      </c>
    </row>
    <row r="242" spans="2:15" ht="6" customHeight="1" x14ac:dyDescent="0.25"/>
    <row r="243" spans="2:15" x14ac:dyDescent="0.25">
      <c r="B243" s="131" t="s">
        <v>57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M244" s="131"/>
    </row>
    <row r="246" spans="2:15" ht="48.75" customHeight="1" thickBot="1" x14ac:dyDescent="0.3">
      <c r="B246" s="12" t="s">
        <v>249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" t="s">
        <v>128</v>
      </c>
    </row>
    <row r="247" spans="2:15" ht="10.5" customHeight="1" thickBot="1" x14ac:dyDescent="0.3">
      <c r="B247" s="132"/>
      <c r="C247" s="133"/>
      <c r="D247" s="132"/>
      <c r="E247" s="132"/>
      <c r="F247" s="132"/>
      <c r="G247" s="132"/>
      <c r="H247" s="132"/>
      <c r="I247" s="132"/>
      <c r="J247" s="132"/>
      <c r="K247" s="132"/>
      <c r="L247" s="132"/>
      <c r="M247" s="4"/>
      <c r="N247" s="4"/>
      <c r="O247" s="1" t="s">
        <v>129</v>
      </c>
    </row>
    <row r="248" spans="2:15" ht="22.5" thickTop="1" thickBot="1" x14ac:dyDescent="0.3">
      <c r="B248" s="152" t="str">
        <f>C248</f>
        <v>Dinamarca</v>
      </c>
      <c r="C248" s="135" t="s">
        <v>130</v>
      </c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</row>
    <row r="249" spans="2:15" ht="22.5" thickTop="1" thickBot="1" x14ac:dyDescent="0.3">
      <c r="B249" s="137"/>
      <c r="C249" s="138">
        <f>C$7</f>
        <v>2020</v>
      </c>
      <c r="D249" s="139"/>
      <c r="E249" s="138">
        <f>E$7</f>
        <v>2021</v>
      </c>
      <c r="F249" s="139"/>
      <c r="G249" s="138">
        <f>G$7</f>
        <v>2022</v>
      </c>
      <c r="H249" s="139"/>
      <c r="I249" s="138">
        <f>I$7</f>
        <v>2023</v>
      </c>
      <c r="J249" s="139"/>
      <c r="K249" s="138">
        <f>K$7</f>
        <v>2024</v>
      </c>
      <c r="L249" s="139"/>
      <c r="M249" s="138">
        <f>M$7</f>
        <v>2025</v>
      </c>
      <c r="N249" s="139"/>
    </row>
    <row r="250" spans="2:15" ht="16.5" thickTop="1" thickBot="1" x14ac:dyDescent="0.3">
      <c r="B250" s="109"/>
      <c r="C250" s="142" t="s">
        <v>71</v>
      </c>
      <c r="D250" s="143" t="str">
        <f>CONCATENATE("var ",RIGHT(C249,2),"/",RIGHT(C249-1,2))</f>
        <v>var 20/19</v>
      </c>
      <c r="E250" s="144" t="s">
        <v>71</v>
      </c>
      <c r="F250" s="143" t="str">
        <f>CONCATENATE("var ",RIGHT(E249,2),"/",RIGHT(E249-1,2))</f>
        <v>var 21/20</v>
      </c>
      <c r="G250" s="144" t="s">
        <v>71</v>
      </c>
      <c r="H250" s="143" t="str">
        <f>CONCATENATE("var ",RIGHT(G249,2),"/",RIGHT(G249-1,2))</f>
        <v>var 22/21</v>
      </c>
      <c r="I250" s="144" t="s">
        <v>71</v>
      </c>
      <c r="J250" s="143" t="str">
        <f>CONCATENATE("var ",RIGHT(I249,2),"/",RIGHT(I249-1,2))</f>
        <v>var 23/22</v>
      </c>
      <c r="K250" s="144" t="s">
        <v>71</v>
      </c>
      <c r="L250" s="143" t="str">
        <f>CONCATENATE("var ",RIGHT(K249,2),"/",RIGHT(K249-1,2))</f>
        <v>var 24/23</v>
      </c>
      <c r="M250" s="144" t="s">
        <v>71</v>
      </c>
      <c r="N250" s="143" t="str">
        <f>CONCATENATE("var ",RIGHT(M249,2),"/",RIGHT(M249-1,2))</f>
        <v>var 25/24</v>
      </c>
    </row>
    <row r="251" spans="2:15" x14ac:dyDescent="0.25">
      <c r="B251" s="145" t="s">
        <v>73</v>
      </c>
      <c r="C251" s="146">
        <v>87</v>
      </c>
      <c r="D251" s="147">
        <v>1.4166666666666665</v>
      </c>
      <c r="E251" s="146">
        <v>4</v>
      </c>
      <c r="F251" s="147">
        <f t="shared" ref="F251:L263" si="23">IFERROR(E251/C251-1,"-")</f>
        <v>-0.95402298850574718</v>
      </c>
      <c r="G251" s="146">
        <v>50</v>
      </c>
      <c r="H251" s="147">
        <f t="shared" si="23"/>
        <v>11.5</v>
      </c>
      <c r="I251" s="146">
        <v>36</v>
      </c>
      <c r="J251" s="147">
        <f t="shared" si="23"/>
        <v>-0.28000000000000003</v>
      </c>
      <c r="K251" s="146">
        <v>58</v>
      </c>
      <c r="L251" s="147">
        <f t="shared" si="23"/>
        <v>0.61111111111111116</v>
      </c>
      <c r="M251" s="146">
        <v>22</v>
      </c>
      <c r="N251" s="147">
        <f t="shared" ref="N251:N260" si="24">IFERROR(M251/K251-1,"-")</f>
        <v>-0.62068965517241381</v>
      </c>
    </row>
    <row r="252" spans="2:15" x14ac:dyDescent="0.25">
      <c r="B252" s="145" t="s">
        <v>75</v>
      </c>
      <c r="C252" s="146">
        <v>17</v>
      </c>
      <c r="D252" s="147">
        <v>-0.5</v>
      </c>
      <c r="E252" s="146">
        <v>5</v>
      </c>
      <c r="F252" s="147">
        <f t="shared" si="23"/>
        <v>-0.70588235294117641</v>
      </c>
      <c r="G252" s="146">
        <v>65</v>
      </c>
      <c r="H252" s="147">
        <f t="shared" si="23"/>
        <v>12</v>
      </c>
      <c r="I252" s="146">
        <v>17</v>
      </c>
      <c r="J252" s="147">
        <f t="shared" si="23"/>
        <v>-0.7384615384615385</v>
      </c>
      <c r="K252" s="146">
        <v>33</v>
      </c>
      <c r="L252" s="147">
        <f t="shared" si="23"/>
        <v>0.94117647058823528</v>
      </c>
      <c r="M252" s="146">
        <v>78</v>
      </c>
      <c r="N252" s="147">
        <f t="shared" si="24"/>
        <v>1.3636363636363638</v>
      </c>
    </row>
    <row r="253" spans="2:15" x14ac:dyDescent="0.25">
      <c r="B253" s="145" t="s">
        <v>77</v>
      </c>
      <c r="C253" s="146">
        <v>8</v>
      </c>
      <c r="D253" s="147">
        <v>-0.46666666666666667</v>
      </c>
      <c r="E253" s="146">
        <v>1</v>
      </c>
      <c r="F253" s="147">
        <f t="shared" si="23"/>
        <v>-0.875</v>
      </c>
      <c r="G253" s="146">
        <v>44</v>
      </c>
      <c r="H253" s="147">
        <f t="shared" si="23"/>
        <v>43</v>
      </c>
      <c r="I253" s="146">
        <v>14</v>
      </c>
      <c r="J253" s="147">
        <f t="shared" si="23"/>
        <v>-0.68181818181818188</v>
      </c>
      <c r="K253" s="146">
        <v>13</v>
      </c>
      <c r="L253" s="147">
        <f t="shared" si="23"/>
        <v>-7.1428571428571397E-2</v>
      </c>
      <c r="M253" s="146">
        <v>10</v>
      </c>
      <c r="N253" s="147">
        <f t="shared" si="24"/>
        <v>-0.23076923076923073</v>
      </c>
    </row>
    <row r="254" spans="2:15" x14ac:dyDescent="0.25">
      <c r="B254" s="145" t="s">
        <v>79</v>
      </c>
      <c r="C254" s="146">
        <v>0</v>
      </c>
      <c r="D254" s="147">
        <v>-1</v>
      </c>
      <c r="E254" s="146">
        <v>5</v>
      </c>
      <c r="F254" s="147" t="str">
        <f t="shared" si="23"/>
        <v>-</v>
      </c>
      <c r="G254" s="146">
        <v>10</v>
      </c>
      <c r="H254" s="147">
        <f t="shared" si="23"/>
        <v>1</v>
      </c>
      <c r="I254" s="146">
        <v>16</v>
      </c>
      <c r="J254" s="147">
        <f t="shared" si="23"/>
        <v>0.60000000000000009</v>
      </c>
      <c r="K254" s="146">
        <v>0</v>
      </c>
      <c r="L254" s="147">
        <f t="shared" si="23"/>
        <v>-1</v>
      </c>
      <c r="M254" s="146">
        <v>12</v>
      </c>
      <c r="N254" s="147" t="str">
        <f t="shared" si="24"/>
        <v>-</v>
      </c>
    </row>
    <row r="255" spans="2:15" x14ac:dyDescent="0.25">
      <c r="B255" s="145" t="s">
        <v>81</v>
      </c>
      <c r="C255" s="146">
        <v>0</v>
      </c>
      <c r="D255" s="147">
        <v>-1</v>
      </c>
      <c r="E255" s="146">
        <v>2</v>
      </c>
      <c r="F255" s="147" t="str">
        <f t="shared" si="23"/>
        <v>-</v>
      </c>
      <c r="G255" s="146">
        <v>6</v>
      </c>
      <c r="H255" s="147">
        <f t="shared" si="23"/>
        <v>2</v>
      </c>
      <c r="I255" s="146">
        <v>2</v>
      </c>
      <c r="J255" s="147">
        <f t="shared" si="23"/>
        <v>-0.66666666666666674</v>
      </c>
      <c r="K255" s="146">
        <v>0</v>
      </c>
      <c r="L255" s="147">
        <f t="shared" si="23"/>
        <v>-1</v>
      </c>
      <c r="M255" s="146">
        <v>4</v>
      </c>
      <c r="N255" s="147" t="str">
        <f t="shared" si="24"/>
        <v>-</v>
      </c>
    </row>
    <row r="256" spans="2:15" x14ac:dyDescent="0.25">
      <c r="B256" s="145" t="s">
        <v>83</v>
      </c>
      <c r="C256" s="146">
        <v>0</v>
      </c>
      <c r="D256" s="147">
        <v>-1</v>
      </c>
      <c r="E256" s="146">
        <v>0</v>
      </c>
      <c r="F256" s="147" t="str">
        <f t="shared" si="23"/>
        <v>-</v>
      </c>
      <c r="G256" s="146">
        <v>7</v>
      </c>
      <c r="H256" s="147" t="str">
        <f t="shared" si="23"/>
        <v>-</v>
      </c>
      <c r="I256" s="146">
        <v>2</v>
      </c>
      <c r="J256" s="147">
        <f t="shared" si="23"/>
        <v>-0.7142857142857143</v>
      </c>
      <c r="K256" s="146">
        <v>47</v>
      </c>
      <c r="L256" s="147">
        <f t="shared" si="23"/>
        <v>22.5</v>
      </c>
      <c r="M256" s="146">
        <v>2</v>
      </c>
      <c r="N256" s="147">
        <f t="shared" si="24"/>
        <v>-0.95744680851063835</v>
      </c>
    </row>
    <row r="257" spans="2:15" x14ac:dyDescent="0.25">
      <c r="B257" s="145" t="s">
        <v>85</v>
      </c>
      <c r="C257" s="146">
        <v>0</v>
      </c>
      <c r="D257" s="147">
        <v>-1</v>
      </c>
      <c r="E257" s="146">
        <v>2</v>
      </c>
      <c r="F257" s="147" t="str">
        <f t="shared" si="23"/>
        <v>-</v>
      </c>
      <c r="G257" s="146">
        <v>8</v>
      </c>
      <c r="H257" s="147">
        <f t="shared" si="23"/>
        <v>3</v>
      </c>
      <c r="I257" s="146">
        <v>9</v>
      </c>
      <c r="J257" s="147">
        <f t="shared" si="23"/>
        <v>0.125</v>
      </c>
      <c r="K257" s="146">
        <v>10</v>
      </c>
      <c r="L257" s="147">
        <f t="shared" si="23"/>
        <v>0.11111111111111116</v>
      </c>
      <c r="M257" s="146">
        <v>25</v>
      </c>
      <c r="N257" s="147">
        <f t="shared" si="24"/>
        <v>1.5</v>
      </c>
    </row>
    <row r="258" spans="2:15" x14ac:dyDescent="0.25">
      <c r="B258" s="145" t="s">
        <v>87</v>
      </c>
      <c r="C258" s="146">
        <v>1</v>
      </c>
      <c r="D258" s="147">
        <v>0</v>
      </c>
      <c r="E258" s="146">
        <v>0</v>
      </c>
      <c r="F258" s="147">
        <f t="shared" si="23"/>
        <v>-1</v>
      </c>
      <c r="G258" s="146">
        <v>27</v>
      </c>
      <c r="H258" s="147" t="str">
        <f t="shared" si="23"/>
        <v>-</v>
      </c>
      <c r="I258" s="146">
        <v>6</v>
      </c>
      <c r="J258" s="147">
        <f t="shared" si="23"/>
        <v>-0.77777777777777779</v>
      </c>
      <c r="K258" s="146">
        <v>4</v>
      </c>
      <c r="L258" s="147">
        <f t="shared" si="23"/>
        <v>-0.33333333333333337</v>
      </c>
      <c r="M258" s="146">
        <v>2</v>
      </c>
      <c r="N258" s="147">
        <f t="shared" si="24"/>
        <v>-0.5</v>
      </c>
    </row>
    <row r="259" spans="2:15" x14ac:dyDescent="0.25">
      <c r="B259" s="145" t="s">
        <v>89</v>
      </c>
      <c r="C259" s="146">
        <v>1</v>
      </c>
      <c r="D259" s="147">
        <v>-0.5</v>
      </c>
      <c r="E259" s="146">
        <v>1</v>
      </c>
      <c r="F259" s="147">
        <f t="shared" si="23"/>
        <v>0</v>
      </c>
      <c r="G259" s="146">
        <v>5</v>
      </c>
      <c r="H259" s="147">
        <f t="shared" si="23"/>
        <v>4</v>
      </c>
      <c r="I259" s="146">
        <v>4</v>
      </c>
      <c r="J259" s="147">
        <f t="shared" si="23"/>
        <v>-0.19999999999999996</v>
      </c>
      <c r="K259" s="146">
        <v>13</v>
      </c>
      <c r="L259" s="147">
        <f t="shared" si="23"/>
        <v>2.25</v>
      </c>
      <c r="M259" s="146">
        <v>2</v>
      </c>
      <c r="N259" s="147">
        <f t="shared" si="24"/>
        <v>-0.84615384615384615</v>
      </c>
    </row>
    <row r="260" spans="2:15" x14ac:dyDescent="0.25">
      <c r="B260" s="145" t="s">
        <v>91</v>
      </c>
      <c r="C260" s="146">
        <v>0</v>
      </c>
      <c r="D260" s="147">
        <v>-1</v>
      </c>
      <c r="E260" s="146">
        <v>31</v>
      </c>
      <c r="F260" s="147" t="str">
        <f t="shared" si="23"/>
        <v>-</v>
      </c>
      <c r="G260" s="146">
        <v>14</v>
      </c>
      <c r="H260" s="147">
        <f t="shared" si="23"/>
        <v>-0.54838709677419351</v>
      </c>
      <c r="I260" s="146">
        <v>6</v>
      </c>
      <c r="J260" s="147">
        <f t="shared" si="23"/>
        <v>-0.5714285714285714</v>
      </c>
      <c r="K260" s="146">
        <v>10</v>
      </c>
      <c r="L260" s="147">
        <f t="shared" si="23"/>
        <v>0.66666666666666674</v>
      </c>
      <c r="M260" s="146">
        <v>4</v>
      </c>
      <c r="N260" s="147">
        <f t="shared" si="24"/>
        <v>-0.6</v>
      </c>
    </row>
    <row r="261" spans="2:15" x14ac:dyDescent="0.25">
      <c r="B261" s="145" t="s">
        <v>93</v>
      </c>
      <c r="C261" s="146">
        <v>4</v>
      </c>
      <c r="D261" s="147">
        <v>-0.75</v>
      </c>
      <c r="E261" s="146">
        <v>22</v>
      </c>
      <c r="F261" s="147">
        <f t="shared" si="23"/>
        <v>4.5</v>
      </c>
      <c r="G261" s="146">
        <v>12</v>
      </c>
      <c r="H261" s="147">
        <f t="shared" si="23"/>
        <v>-0.45454545454545459</v>
      </c>
      <c r="I261" s="146">
        <v>24</v>
      </c>
      <c r="J261" s="147">
        <f t="shared" si="23"/>
        <v>1</v>
      </c>
      <c r="K261" s="146">
        <v>38</v>
      </c>
      <c r="L261" s="147">
        <f t="shared" si="23"/>
        <v>0.58333333333333326</v>
      </c>
      <c r="M261" s="146"/>
      <c r="N261" s="147"/>
    </row>
    <row r="262" spans="2:15" x14ac:dyDescent="0.25">
      <c r="B262" s="145" t="s">
        <v>95</v>
      </c>
      <c r="C262" s="146">
        <v>2</v>
      </c>
      <c r="D262" s="147">
        <v>-0.9</v>
      </c>
      <c r="E262" s="146">
        <v>32</v>
      </c>
      <c r="F262" s="147">
        <f t="shared" si="23"/>
        <v>15</v>
      </c>
      <c r="G262" s="146">
        <v>22</v>
      </c>
      <c r="H262" s="147">
        <f t="shared" si="23"/>
        <v>-0.3125</v>
      </c>
      <c r="I262" s="146">
        <v>17</v>
      </c>
      <c r="J262" s="147">
        <f t="shared" si="23"/>
        <v>-0.22727272727272729</v>
      </c>
      <c r="K262" s="146">
        <v>4</v>
      </c>
      <c r="L262" s="147">
        <f t="shared" si="23"/>
        <v>-0.76470588235294112</v>
      </c>
      <c r="M262" s="146"/>
      <c r="N262" s="147"/>
    </row>
    <row r="263" spans="2:15" ht="15.75" x14ac:dyDescent="0.25">
      <c r="B263" s="148" t="s">
        <v>32</v>
      </c>
      <c r="C263" s="149">
        <v>124</v>
      </c>
      <c r="D263" s="150">
        <v>-0.19999999999999996</v>
      </c>
      <c r="E263" s="149">
        <v>105</v>
      </c>
      <c r="F263" s="150">
        <f t="shared" si="23"/>
        <v>-0.15322580645161288</v>
      </c>
      <c r="G263" s="149">
        <v>270</v>
      </c>
      <c r="H263" s="150">
        <f t="shared" si="23"/>
        <v>1.5714285714285716</v>
      </c>
      <c r="I263" s="149">
        <v>153</v>
      </c>
      <c r="J263" s="150">
        <f t="shared" si="23"/>
        <v>-0.43333333333333335</v>
      </c>
      <c r="K263" s="149">
        <v>230</v>
      </c>
      <c r="L263" s="150">
        <f t="shared" si="23"/>
        <v>0.50326797385620914</v>
      </c>
      <c r="M263" s="149">
        <v>161</v>
      </c>
      <c r="N263" s="150">
        <v>-0.1436170212765957</v>
      </c>
    </row>
    <row r="264" spans="2:15" ht="6" customHeight="1" x14ac:dyDescent="0.25"/>
    <row r="265" spans="2:15" x14ac:dyDescent="0.25">
      <c r="B265" s="131" t="s">
        <v>57</v>
      </c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</row>
    <row r="266" spans="2:15" x14ac:dyDescent="0.25">
      <c r="K266" s="151"/>
    </row>
    <row r="268" spans="2:15" ht="48.75" customHeight="1" thickBot="1" x14ac:dyDescent="0.3">
      <c r="B268" s="12" t="s">
        <v>250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" t="s">
        <v>131</v>
      </c>
    </row>
    <row r="269" spans="2:15" ht="10.5" customHeight="1" thickBot="1" x14ac:dyDescent="0.3">
      <c r="B269" s="132"/>
      <c r="C269" s="133"/>
      <c r="D269" s="132"/>
      <c r="E269" s="132"/>
      <c r="F269" s="132"/>
      <c r="G269" s="132"/>
      <c r="H269" s="132"/>
      <c r="I269" s="132"/>
      <c r="J269" s="132"/>
      <c r="K269" s="132"/>
      <c r="L269" s="132"/>
      <c r="M269" s="4"/>
      <c r="N269" s="4"/>
      <c r="O269" s="1" t="s">
        <v>132</v>
      </c>
    </row>
    <row r="270" spans="2:15" ht="22.5" thickTop="1" thickBot="1" x14ac:dyDescent="0.3">
      <c r="B270" s="152" t="str">
        <f>C270</f>
        <v>Suecia</v>
      </c>
      <c r="C270" s="135" t="s">
        <v>133</v>
      </c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</row>
    <row r="271" spans="2:15" ht="22.5" thickTop="1" thickBot="1" x14ac:dyDescent="0.3">
      <c r="B271" s="137"/>
      <c r="C271" s="138">
        <f>C$7</f>
        <v>2020</v>
      </c>
      <c r="D271" s="139"/>
      <c r="E271" s="138">
        <f>E$7</f>
        <v>2021</v>
      </c>
      <c r="F271" s="139"/>
      <c r="G271" s="138">
        <f>G$7</f>
        <v>2022</v>
      </c>
      <c r="H271" s="139"/>
      <c r="I271" s="138">
        <f>I$7</f>
        <v>2023</v>
      </c>
      <c r="J271" s="139"/>
      <c r="K271" s="138">
        <f>K$7</f>
        <v>2024</v>
      </c>
      <c r="L271" s="139"/>
      <c r="M271" s="138">
        <f>M$7</f>
        <v>2025</v>
      </c>
      <c r="N271" s="139"/>
    </row>
    <row r="272" spans="2:15" ht="16.5" thickTop="1" thickBot="1" x14ac:dyDescent="0.3">
      <c r="B272" s="109"/>
      <c r="C272" s="142" t="s">
        <v>71</v>
      </c>
      <c r="D272" s="143" t="str">
        <f>CONCATENATE("var ",RIGHT(C271,2),"/",RIGHT(C271-1,2))</f>
        <v>var 20/19</v>
      </c>
      <c r="E272" s="144" t="s">
        <v>71</v>
      </c>
      <c r="F272" s="143" t="str">
        <f>CONCATENATE("var ",RIGHT(E271,2),"/",RIGHT(E271-1,2))</f>
        <v>var 21/20</v>
      </c>
      <c r="G272" s="144" t="s">
        <v>71</v>
      </c>
      <c r="H272" s="143" t="str">
        <f>CONCATENATE("var ",RIGHT(G271,2),"/",RIGHT(G271-1,2))</f>
        <v>var 22/21</v>
      </c>
      <c r="I272" s="144" t="s">
        <v>71</v>
      </c>
      <c r="J272" s="143" t="str">
        <f>CONCATENATE("var ",RIGHT(I271,2),"/",RIGHT(I271-1,2))</f>
        <v>var 23/22</v>
      </c>
      <c r="K272" s="144" t="s">
        <v>71</v>
      </c>
      <c r="L272" s="143" t="str">
        <f>CONCATENATE("var ",RIGHT(K271,2),"/",RIGHT(K271-1,2))</f>
        <v>var 24/23</v>
      </c>
      <c r="M272" s="144" t="s">
        <v>71</v>
      </c>
      <c r="N272" s="143" t="str">
        <f>CONCATENATE("var ",RIGHT(M271,2),"/",RIGHT(M271-1,2))</f>
        <v>var 25/24</v>
      </c>
    </row>
    <row r="273" spans="2:14" x14ac:dyDescent="0.25">
      <c r="B273" s="145" t="s">
        <v>73</v>
      </c>
      <c r="C273" s="146">
        <v>30</v>
      </c>
      <c r="D273" s="147">
        <v>0.875</v>
      </c>
      <c r="E273" s="146">
        <v>7</v>
      </c>
      <c r="F273" s="147">
        <f t="shared" ref="F273:L285" si="25">IFERROR(E273/C273-1,"-")</f>
        <v>-0.76666666666666661</v>
      </c>
      <c r="G273" s="146">
        <v>37</v>
      </c>
      <c r="H273" s="147">
        <f t="shared" si="25"/>
        <v>4.2857142857142856</v>
      </c>
      <c r="I273" s="146">
        <v>64</v>
      </c>
      <c r="J273" s="147">
        <f t="shared" si="25"/>
        <v>0.72972972972972983</v>
      </c>
      <c r="K273" s="146">
        <v>161</v>
      </c>
      <c r="L273" s="147">
        <f t="shared" si="25"/>
        <v>1.515625</v>
      </c>
      <c r="M273" s="146">
        <v>83</v>
      </c>
      <c r="N273" s="147">
        <f t="shared" ref="N273:N282" si="26">IFERROR(M273/K273-1,"-")</f>
        <v>-0.48447204968944102</v>
      </c>
    </row>
    <row r="274" spans="2:14" x14ac:dyDescent="0.25">
      <c r="B274" s="145" t="s">
        <v>75</v>
      </c>
      <c r="C274" s="146">
        <v>26</v>
      </c>
      <c r="D274" s="147">
        <v>-0.21212121212121215</v>
      </c>
      <c r="E274" s="146">
        <v>2</v>
      </c>
      <c r="F274" s="147">
        <f t="shared" si="25"/>
        <v>-0.92307692307692313</v>
      </c>
      <c r="G274" s="146">
        <v>10</v>
      </c>
      <c r="H274" s="147">
        <f t="shared" si="25"/>
        <v>4</v>
      </c>
      <c r="I274" s="146">
        <v>16</v>
      </c>
      <c r="J274" s="147">
        <f t="shared" si="25"/>
        <v>0.60000000000000009</v>
      </c>
      <c r="K274" s="146">
        <v>45</v>
      </c>
      <c r="L274" s="147">
        <f t="shared" si="25"/>
        <v>1.8125</v>
      </c>
      <c r="M274" s="146">
        <v>11</v>
      </c>
      <c r="N274" s="147">
        <f t="shared" si="26"/>
        <v>-0.75555555555555554</v>
      </c>
    </row>
    <row r="275" spans="2:14" x14ac:dyDescent="0.25">
      <c r="B275" s="145" t="s">
        <v>77</v>
      </c>
      <c r="C275" s="146">
        <v>5</v>
      </c>
      <c r="D275" s="147">
        <v>-0.86842105263157898</v>
      </c>
      <c r="E275" s="146">
        <v>8</v>
      </c>
      <c r="F275" s="147">
        <f t="shared" si="25"/>
        <v>0.60000000000000009</v>
      </c>
      <c r="G275" s="146">
        <v>22</v>
      </c>
      <c r="H275" s="147">
        <f t="shared" si="25"/>
        <v>1.75</v>
      </c>
      <c r="I275" s="146">
        <v>38</v>
      </c>
      <c r="J275" s="147">
        <f t="shared" si="25"/>
        <v>0.72727272727272729</v>
      </c>
      <c r="K275" s="146">
        <v>35</v>
      </c>
      <c r="L275" s="147">
        <f t="shared" si="25"/>
        <v>-7.8947368421052655E-2</v>
      </c>
      <c r="M275" s="146">
        <v>29</v>
      </c>
      <c r="N275" s="147">
        <f t="shared" si="26"/>
        <v>-0.17142857142857137</v>
      </c>
    </row>
    <row r="276" spans="2:14" x14ac:dyDescent="0.25">
      <c r="B276" s="145" t="s">
        <v>79</v>
      </c>
      <c r="C276" s="146">
        <v>0</v>
      </c>
      <c r="D276" s="147">
        <v>-1</v>
      </c>
      <c r="E276" s="146">
        <v>8</v>
      </c>
      <c r="F276" s="147" t="str">
        <f t="shared" si="25"/>
        <v>-</v>
      </c>
      <c r="G276" s="146">
        <v>2</v>
      </c>
      <c r="H276" s="147">
        <f t="shared" si="25"/>
        <v>-0.75</v>
      </c>
      <c r="I276" s="146">
        <v>22</v>
      </c>
      <c r="J276" s="147">
        <f t="shared" si="25"/>
        <v>10</v>
      </c>
      <c r="K276" s="146">
        <v>20</v>
      </c>
      <c r="L276" s="147">
        <f t="shared" si="25"/>
        <v>-9.0909090909090939E-2</v>
      </c>
      <c r="M276" s="146">
        <v>6</v>
      </c>
      <c r="N276" s="147">
        <f t="shared" si="26"/>
        <v>-0.7</v>
      </c>
    </row>
    <row r="277" spans="2:14" x14ac:dyDescent="0.25">
      <c r="B277" s="145" t="s">
        <v>81</v>
      </c>
      <c r="C277" s="146">
        <v>0</v>
      </c>
      <c r="D277" s="147">
        <v>-1</v>
      </c>
      <c r="E277" s="146">
        <v>12</v>
      </c>
      <c r="F277" s="147" t="str">
        <f t="shared" si="25"/>
        <v>-</v>
      </c>
      <c r="G277" s="146">
        <v>6</v>
      </c>
      <c r="H277" s="147">
        <f t="shared" si="25"/>
        <v>-0.5</v>
      </c>
      <c r="I277" s="146">
        <v>6</v>
      </c>
      <c r="J277" s="147">
        <f t="shared" si="25"/>
        <v>0</v>
      </c>
      <c r="K277" s="146">
        <v>4</v>
      </c>
      <c r="L277" s="147">
        <f t="shared" si="25"/>
        <v>-0.33333333333333337</v>
      </c>
      <c r="M277" s="146">
        <v>10</v>
      </c>
      <c r="N277" s="147">
        <f t="shared" si="26"/>
        <v>1.5</v>
      </c>
    </row>
    <row r="278" spans="2:14" x14ac:dyDescent="0.25">
      <c r="B278" s="145" t="s">
        <v>83</v>
      </c>
      <c r="C278" s="146">
        <v>0</v>
      </c>
      <c r="D278" s="147">
        <v>-1</v>
      </c>
      <c r="E278" s="146">
        <v>5</v>
      </c>
      <c r="F278" s="147" t="str">
        <f t="shared" si="25"/>
        <v>-</v>
      </c>
      <c r="G278" s="146">
        <v>22</v>
      </c>
      <c r="H278" s="147">
        <f t="shared" si="25"/>
        <v>3.4000000000000004</v>
      </c>
      <c r="I278" s="146">
        <v>9</v>
      </c>
      <c r="J278" s="147">
        <f t="shared" si="25"/>
        <v>-0.59090909090909083</v>
      </c>
      <c r="K278" s="146">
        <v>0</v>
      </c>
      <c r="L278" s="147">
        <f t="shared" si="25"/>
        <v>-1</v>
      </c>
      <c r="M278" s="146">
        <v>4</v>
      </c>
      <c r="N278" s="147" t="str">
        <f t="shared" si="26"/>
        <v>-</v>
      </c>
    </row>
    <row r="279" spans="2:14" x14ac:dyDescent="0.25">
      <c r="B279" s="145" t="s">
        <v>85</v>
      </c>
      <c r="C279" s="146">
        <v>0</v>
      </c>
      <c r="D279" s="147">
        <v>-1</v>
      </c>
      <c r="E279" s="146">
        <v>2</v>
      </c>
      <c r="F279" s="147" t="str">
        <f t="shared" si="25"/>
        <v>-</v>
      </c>
      <c r="G279" s="146">
        <v>4</v>
      </c>
      <c r="H279" s="147">
        <f t="shared" si="25"/>
        <v>1</v>
      </c>
      <c r="I279" s="146">
        <v>9</v>
      </c>
      <c r="J279" s="147">
        <f t="shared" si="25"/>
        <v>1.25</v>
      </c>
      <c r="K279" s="146">
        <v>2</v>
      </c>
      <c r="L279" s="147">
        <f t="shared" si="25"/>
        <v>-0.77777777777777779</v>
      </c>
      <c r="M279" s="146">
        <v>6</v>
      </c>
      <c r="N279" s="147">
        <f t="shared" si="26"/>
        <v>2</v>
      </c>
    </row>
    <row r="280" spans="2:14" x14ac:dyDescent="0.25">
      <c r="B280" s="145" t="s">
        <v>87</v>
      </c>
      <c r="C280" s="146">
        <v>3</v>
      </c>
      <c r="D280" s="147">
        <v>-0.5714285714285714</v>
      </c>
      <c r="E280" s="146">
        <v>9</v>
      </c>
      <c r="F280" s="147">
        <f t="shared" si="25"/>
        <v>2</v>
      </c>
      <c r="G280" s="146">
        <v>5</v>
      </c>
      <c r="H280" s="147">
        <f t="shared" si="25"/>
        <v>-0.44444444444444442</v>
      </c>
      <c r="I280" s="146">
        <v>14</v>
      </c>
      <c r="J280" s="147">
        <f t="shared" si="25"/>
        <v>1.7999999999999998</v>
      </c>
      <c r="K280" s="146">
        <v>5</v>
      </c>
      <c r="L280" s="147">
        <f t="shared" si="25"/>
        <v>-0.64285714285714279</v>
      </c>
      <c r="M280" s="146">
        <v>4</v>
      </c>
      <c r="N280" s="147">
        <f t="shared" si="26"/>
        <v>-0.19999999999999996</v>
      </c>
    </row>
    <row r="281" spans="2:14" x14ac:dyDescent="0.25">
      <c r="B281" s="145" t="s">
        <v>89</v>
      </c>
      <c r="C281" s="146">
        <v>2</v>
      </c>
      <c r="D281" s="147" t="s">
        <v>233</v>
      </c>
      <c r="E281" s="146">
        <v>10</v>
      </c>
      <c r="F281" s="147">
        <f t="shared" si="25"/>
        <v>4</v>
      </c>
      <c r="G281" s="146">
        <v>6</v>
      </c>
      <c r="H281" s="147">
        <f t="shared" si="25"/>
        <v>-0.4</v>
      </c>
      <c r="I281" s="146">
        <v>12</v>
      </c>
      <c r="J281" s="147">
        <f t="shared" si="25"/>
        <v>1</v>
      </c>
      <c r="K281" s="146">
        <v>10</v>
      </c>
      <c r="L281" s="147">
        <f t="shared" si="25"/>
        <v>-0.16666666666666663</v>
      </c>
      <c r="M281" s="146">
        <v>6</v>
      </c>
      <c r="N281" s="147">
        <f t="shared" si="26"/>
        <v>-0.4</v>
      </c>
    </row>
    <row r="282" spans="2:14" x14ac:dyDescent="0.25">
      <c r="B282" s="145" t="s">
        <v>91</v>
      </c>
      <c r="C282" s="146">
        <v>4</v>
      </c>
      <c r="D282" s="147">
        <v>-0.81818181818181812</v>
      </c>
      <c r="E282" s="146">
        <v>4</v>
      </c>
      <c r="F282" s="147">
        <f t="shared" si="25"/>
        <v>0</v>
      </c>
      <c r="G282" s="146">
        <v>11</v>
      </c>
      <c r="H282" s="147">
        <f t="shared" si="25"/>
        <v>1.75</v>
      </c>
      <c r="I282" s="146">
        <v>16</v>
      </c>
      <c r="J282" s="147">
        <f t="shared" si="25"/>
        <v>0.45454545454545459</v>
      </c>
      <c r="K282" s="146">
        <v>26</v>
      </c>
      <c r="L282" s="147">
        <f t="shared" si="25"/>
        <v>0.625</v>
      </c>
      <c r="M282" s="146">
        <v>18</v>
      </c>
      <c r="N282" s="147">
        <f t="shared" si="26"/>
        <v>-0.30769230769230771</v>
      </c>
    </row>
    <row r="283" spans="2:14" x14ac:dyDescent="0.25">
      <c r="B283" s="145" t="s">
        <v>93</v>
      </c>
      <c r="C283" s="146">
        <v>12</v>
      </c>
      <c r="D283" s="147">
        <v>-0.80645161290322576</v>
      </c>
      <c r="E283" s="146">
        <v>13</v>
      </c>
      <c r="F283" s="147">
        <f t="shared" si="25"/>
        <v>8.3333333333333259E-2</v>
      </c>
      <c r="G283" s="146">
        <v>8</v>
      </c>
      <c r="H283" s="147">
        <f t="shared" si="25"/>
        <v>-0.38461538461538458</v>
      </c>
      <c r="I283" s="146">
        <v>32</v>
      </c>
      <c r="J283" s="147">
        <f t="shared" si="25"/>
        <v>3</v>
      </c>
      <c r="K283" s="146">
        <v>34</v>
      </c>
      <c r="L283" s="147">
        <f t="shared" si="25"/>
        <v>6.25E-2</v>
      </c>
      <c r="M283" s="146"/>
      <c r="N283" s="147"/>
    </row>
    <row r="284" spans="2:14" x14ac:dyDescent="0.25">
      <c r="B284" s="145" t="s">
        <v>95</v>
      </c>
      <c r="C284" s="146">
        <v>5</v>
      </c>
      <c r="D284" s="147">
        <v>-0.87804878048780488</v>
      </c>
      <c r="E284" s="146">
        <v>16</v>
      </c>
      <c r="F284" s="147">
        <f t="shared" si="25"/>
        <v>2.2000000000000002</v>
      </c>
      <c r="G284" s="146">
        <v>35</v>
      </c>
      <c r="H284" s="147">
        <f t="shared" si="25"/>
        <v>1.1875</v>
      </c>
      <c r="I284" s="146">
        <v>32</v>
      </c>
      <c r="J284" s="147">
        <f t="shared" si="25"/>
        <v>-8.5714285714285743E-2</v>
      </c>
      <c r="K284" s="146">
        <v>42</v>
      </c>
      <c r="L284" s="147">
        <f t="shared" si="25"/>
        <v>0.3125</v>
      </c>
      <c r="M284" s="146"/>
      <c r="N284" s="147"/>
    </row>
    <row r="285" spans="2:14" ht="15.75" x14ac:dyDescent="0.25">
      <c r="B285" s="148" t="s">
        <v>32</v>
      </c>
      <c r="C285" s="149">
        <v>89</v>
      </c>
      <c r="D285" s="150">
        <v>-0.67158671586715868</v>
      </c>
      <c r="E285" s="149">
        <v>96</v>
      </c>
      <c r="F285" s="150">
        <f t="shared" si="25"/>
        <v>7.8651685393258397E-2</v>
      </c>
      <c r="G285" s="149">
        <v>168</v>
      </c>
      <c r="H285" s="150">
        <f t="shared" si="25"/>
        <v>0.75</v>
      </c>
      <c r="I285" s="149">
        <v>270</v>
      </c>
      <c r="J285" s="150">
        <f t="shared" si="25"/>
        <v>0.60714285714285721</v>
      </c>
      <c r="K285" s="149">
        <v>384</v>
      </c>
      <c r="L285" s="150">
        <f t="shared" si="25"/>
        <v>0.42222222222222228</v>
      </c>
      <c r="M285" s="149">
        <v>177</v>
      </c>
      <c r="N285" s="150">
        <v>-0.42532467532467533</v>
      </c>
    </row>
    <row r="286" spans="2:14" ht="6" customHeight="1" x14ac:dyDescent="0.25"/>
    <row r="287" spans="2:14" x14ac:dyDescent="0.25">
      <c r="B287" s="131" t="s">
        <v>57</v>
      </c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</row>
    <row r="288" spans="2:14" x14ac:dyDescent="0.25">
      <c r="C288" s="151"/>
      <c r="K288" s="151"/>
      <c r="N288" s="103"/>
    </row>
    <row r="290" spans="3:13" x14ac:dyDescent="0.25">
      <c r="C290" s="103"/>
      <c r="E290" s="103"/>
      <c r="G290" s="103"/>
      <c r="I290" s="103"/>
      <c r="K290" s="103"/>
      <c r="M290" s="103"/>
    </row>
  </sheetData>
  <mergeCells count="104"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76592-4E98-4F65-BBBB-F04D8E290974}">
  <sheetPr>
    <tabColor theme="7" tint="0.79998168889431442"/>
  </sheetPr>
  <dimension ref="A4:R23"/>
  <sheetViews>
    <sheetView showGridLines="0" zoomScaleNormal="100" workbookViewId="0">
      <selection activeCell="D5" sqref="D5"/>
    </sheetView>
  </sheetViews>
  <sheetFormatPr baseColWidth="10" defaultColWidth="11.42578125" defaultRowHeight="15" x14ac:dyDescent="0.25"/>
  <cols>
    <col min="1" max="1" width="15.28515625" customWidth="1"/>
    <col min="2" max="2" width="14.28515625" customWidth="1"/>
    <col min="17" max="17" width="13.5703125" bestFit="1" customWidth="1"/>
  </cols>
  <sheetData>
    <row r="4" spans="1:18" ht="48.75" customHeight="1" thickBot="1" x14ac:dyDescent="0.3">
      <c r="B4" s="12" t="s">
        <v>239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" t="s">
        <v>68</v>
      </c>
    </row>
    <row r="5" spans="1:18" ht="10.5" customHeight="1" thickBot="1" x14ac:dyDescent="0.3">
      <c r="B5" s="132"/>
      <c r="C5" s="132"/>
      <c r="D5" s="132"/>
      <c r="E5" s="132"/>
      <c r="F5" s="132"/>
      <c r="G5" s="132"/>
      <c r="H5" s="132"/>
      <c r="I5" s="132"/>
      <c r="J5" s="133"/>
      <c r="K5" s="132"/>
      <c r="L5" s="132"/>
      <c r="M5" s="132"/>
      <c r="N5" s="132"/>
      <c r="O5" s="132"/>
      <c r="P5" s="4"/>
      <c r="Q5" s="4"/>
      <c r="R5" s="1" t="s">
        <v>69</v>
      </c>
    </row>
    <row r="6" spans="1:18" ht="22.5" thickTop="1" thickBot="1" x14ac:dyDescent="0.3">
      <c r="B6" s="134" t="s">
        <v>32</v>
      </c>
      <c r="C6" s="135" t="s">
        <v>134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</row>
    <row r="7" spans="1:18" ht="22.5" thickTop="1" thickBot="1" x14ac:dyDescent="0.3">
      <c r="B7" s="137"/>
      <c r="C7" s="156">
        <v>2018</v>
      </c>
      <c r="D7" s="138">
        <v>2019</v>
      </c>
      <c r="E7" s="139"/>
      <c r="F7" s="138">
        <v>2020</v>
      </c>
      <c r="G7" s="139"/>
      <c r="H7" s="138">
        <v>2021</v>
      </c>
      <c r="I7" s="139"/>
      <c r="J7" s="138">
        <v>2022</v>
      </c>
      <c r="K7" s="139"/>
      <c r="L7" s="140">
        <v>2023</v>
      </c>
      <c r="M7" s="139"/>
      <c r="N7" s="140">
        <v>2024</v>
      </c>
      <c r="O7" s="141"/>
      <c r="P7" s="140">
        <v>2025</v>
      </c>
      <c r="Q7" s="141"/>
    </row>
    <row r="8" spans="1:18" ht="16.5" thickTop="1" thickBot="1" x14ac:dyDescent="0.3">
      <c r="B8" s="109"/>
      <c r="C8" s="142" t="s">
        <v>71</v>
      </c>
      <c r="D8" s="142" t="s">
        <v>71</v>
      </c>
      <c r="E8" s="143" t="s">
        <v>135</v>
      </c>
      <c r="F8" s="142" t="s">
        <v>71</v>
      </c>
      <c r="G8" s="143" t="s">
        <v>136</v>
      </c>
      <c r="H8" s="142" t="s">
        <v>71</v>
      </c>
      <c r="I8" s="143" t="s">
        <v>137</v>
      </c>
      <c r="J8" s="142" t="s">
        <v>71</v>
      </c>
      <c r="K8" s="143" t="s">
        <v>138</v>
      </c>
      <c r="L8" s="144" t="s">
        <v>71</v>
      </c>
      <c r="M8" s="143" t="s">
        <v>251</v>
      </c>
      <c r="N8" s="144" t="s">
        <v>71</v>
      </c>
      <c r="O8" s="143" t="s">
        <v>252</v>
      </c>
      <c r="P8" s="144" t="s">
        <v>71</v>
      </c>
      <c r="Q8" s="143" t="s">
        <v>138</v>
      </c>
    </row>
    <row r="9" spans="1:18" x14ac:dyDescent="0.25">
      <c r="A9" s="1" t="s">
        <v>72</v>
      </c>
      <c r="B9" s="145" t="s">
        <v>73</v>
      </c>
      <c r="C9" s="146">
        <v>4847</v>
      </c>
      <c r="D9" s="146">
        <v>4716</v>
      </c>
      <c r="E9" s="147">
        <f t="shared" ref="E9:E21" si="0">D9/C9-1</f>
        <v>-2.7027027027026973E-2</v>
      </c>
      <c r="F9" s="146">
        <v>5197</v>
      </c>
      <c r="G9" s="147">
        <f>F9/D9-1</f>
        <v>0.10199321458863442</v>
      </c>
      <c r="H9" s="146">
        <v>1146</v>
      </c>
      <c r="I9" s="147">
        <f>IFERROR(H9/F9-1,"-")</f>
        <v>-0.77948816624975947</v>
      </c>
      <c r="J9" s="146">
        <v>3527</v>
      </c>
      <c r="K9" s="147">
        <f>IFERROR(J9/H9-1,"-")</f>
        <v>2.0776614310645725</v>
      </c>
      <c r="L9" s="146">
        <v>5390</v>
      </c>
      <c r="M9" s="147">
        <f t="shared" ref="M9:M21" si="1">IFERROR(L9/J9-1,"-")</f>
        <v>0.52821094414516589</v>
      </c>
      <c r="N9" s="146">
        <v>5217</v>
      </c>
      <c r="O9" s="147">
        <f>IFERROR(N9/L9-1,"-")</f>
        <v>-3.2096474953617782E-2</v>
      </c>
      <c r="P9" s="146">
        <v>5311</v>
      </c>
      <c r="Q9" s="147">
        <f t="shared" ref="Q9:Q20" si="2">IFERROR(P9/N9-1,"-")</f>
        <v>1.8018018018018056E-2</v>
      </c>
    </row>
    <row r="10" spans="1:18" x14ac:dyDescent="0.25">
      <c r="A10" s="1" t="s">
        <v>74</v>
      </c>
      <c r="B10" s="145" t="s">
        <v>75</v>
      </c>
      <c r="C10" s="146">
        <v>4884</v>
      </c>
      <c r="D10" s="146">
        <v>4935</v>
      </c>
      <c r="E10" s="147">
        <f t="shared" si="0"/>
        <v>1.0442260442260487E-2</v>
      </c>
      <c r="F10" s="146">
        <v>5359</v>
      </c>
      <c r="G10" s="147">
        <f t="shared" ref="G10:G20" si="3">F10/D10-1</f>
        <v>8.5916919959473148E-2</v>
      </c>
      <c r="H10" s="146">
        <v>1385</v>
      </c>
      <c r="I10" s="147">
        <f t="shared" ref="I10:I21" si="4">IFERROR(H10/F10-1,"-")</f>
        <v>-0.74155626049636125</v>
      </c>
      <c r="J10" s="146">
        <v>4177</v>
      </c>
      <c r="K10" s="147">
        <f t="shared" ref="K10:K21" si="5">IFERROR(J10/H10-1,"-")</f>
        <v>2.0158844765342958</v>
      </c>
      <c r="L10" s="146">
        <v>5270</v>
      </c>
      <c r="M10" s="147">
        <f t="shared" si="1"/>
        <v>0.2616710557816615</v>
      </c>
      <c r="N10" s="146">
        <v>4803</v>
      </c>
      <c r="O10" s="147">
        <f t="shared" ref="O10:O21" si="6">IFERROR(N10/L10-1,"-")</f>
        <v>-8.861480075901329E-2</v>
      </c>
      <c r="P10" s="146">
        <v>4194</v>
      </c>
      <c r="Q10" s="147">
        <f t="shared" si="2"/>
        <v>-0.12679575265459087</v>
      </c>
    </row>
    <row r="11" spans="1:18" x14ac:dyDescent="0.25">
      <c r="A11" s="1" t="s">
        <v>76</v>
      </c>
      <c r="B11" s="145" t="s">
        <v>77</v>
      </c>
      <c r="C11" s="146">
        <v>5201</v>
      </c>
      <c r="D11" s="146">
        <v>5148</v>
      </c>
      <c r="E11" s="147">
        <f t="shared" si="0"/>
        <v>-1.0190348009998074E-2</v>
      </c>
      <c r="F11" s="146">
        <v>2198</v>
      </c>
      <c r="G11" s="147">
        <f t="shared" si="3"/>
        <v>-0.57303807303807308</v>
      </c>
      <c r="H11" s="146">
        <v>2288</v>
      </c>
      <c r="I11" s="147">
        <f t="shared" si="4"/>
        <v>4.0946314831665109E-2</v>
      </c>
      <c r="J11" s="146">
        <v>4740</v>
      </c>
      <c r="K11" s="147">
        <f t="shared" si="5"/>
        <v>1.0716783216783217</v>
      </c>
      <c r="L11" s="146">
        <v>5659</v>
      </c>
      <c r="M11" s="147">
        <f t="shared" si="1"/>
        <v>0.19388185654008439</v>
      </c>
      <c r="N11" s="146">
        <v>5168</v>
      </c>
      <c r="O11" s="147">
        <f t="shared" si="6"/>
        <v>-8.6764446015197061E-2</v>
      </c>
      <c r="P11" s="146">
        <v>5342</v>
      </c>
      <c r="Q11" s="147">
        <f t="shared" si="2"/>
        <v>3.3668730650154854E-2</v>
      </c>
    </row>
    <row r="12" spans="1:18" x14ac:dyDescent="0.25">
      <c r="A12" s="1" t="s">
        <v>78</v>
      </c>
      <c r="B12" s="145" t="s">
        <v>79</v>
      </c>
      <c r="C12" s="146">
        <v>4789</v>
      </c>
      <c r="D12" s="146">
        <v>4194</v>
      </c>
      <c r="E12" s="147">
        <f t="shared" si="0"/>
        <v>-0.12424305700563787</v>
      </c>
      <c r="F12" s="146">
        <v>0</v>
      </c>
      <c r="G12" s="147">
        <f t="shared" si="3"/>
        <v>-1</v>
      </c>
      <c r="H12" s="146">
        <v>1830</v>
      </c>
      <c r="I12" s="147" t="str">
        <f t="shared" si="4"/>
        <v>-</v>
      </c>
      <c r="J12" s="146">
        <v>4075</v>
      </c>
      <c r="K12" s="147">
        <f t="shared" si="5"/>
        <v>1.2267759562841531</v>
      </c>
      <c r="L12" s="146">
        <v>5170</v>
      </c>
      <c r="M12" s="147">
        <f t="shared" si="1"/>
        <v>0.26871165644171779</v>
      </c>
      <c r="N12" s="146">
        <v>5054</v>
      </c>
      <c r="O12" s="147">
        <f t="shared" si="6"/>
        <v>-2.2437137330754364E-2</v>
      </c>
      <c r="P12" s="146">
        <v>4308</v>
      </c>
      <c r="Q12" s="147">
        <f t="shared" si="2"/>
        <v>-0.147605856747131</v>
      </c>
    </row>
    <row r="13" spans="1:18" x14ac:dyDescent="0.25">
      <c r="A13" s="1" t="s">
        <v>80</v>
      </c>
      <c r="B13" s="145" t="s">
        <v>81</v>
      </c>
      <c r="C13" s="146">
        <v>4097</v>
      </c>
      <c r="D13" s="146">
        <v>4065</v>
      </c>
      <c r="E13" s="147">
        <f t="shared" si="0"/>
        <v>-7.810593116914788E-3</v>
      </c>
      <c r="F13" s="146">
        <v>0</v>
      </c>
      <c r="G13" s="147">
        <f t="shared" si="3"/>
        <v>-1</v>
      </c>
      <c r="H13" s="146">
        <v>2659</v>
      </c>
      <c r="I13" s="147" t="str">
        <f t="shared" si="4"/>
        <v>-</v>
      </c>
      <c r="J13" s="146">
        <v>3632</v>
      </c>
      <c r="K13" s="147">
        <f t="shared" si="5"/>
        <v>0.365927040240692</v>
      </c>
      <c r="L13" s="146">
        <v>5013</v>
      </c>
      <c r="M13" s="147">
        <f t="shared" si="1"/>
        <v>0.38023127753303965</v>
      </c>
      <c r="N13" s="146">
        <v>4992</v>
      </c>
      <c r="O13" s="147">
        <f t="shared" si="6"/>
        <v>-4.1891083183722699E-3</v>
      </c>
      <c r="P13" s="146">
        <v>4998</v>
      </c>
      <c r="Q13" s="147">
        <f t="shared" si="2"/>
        <v>1.2019230769231282E-3</v>
      </c>
    </row>
    <row r="14" spans="1:18" x14ac:dyDescent="0.25">
      <c r="A14" s="1" t="s">
        <v>82</v>
      </c>
      <c r="B14" s="145" t="s">
        <v>83</v>
      </c>
      <c r="C14" s="146">
        <v>4053</v>
      </c>
      <c r="D14" s="146">
        <v>3920</v>
      </c>
      <c r="E14" s="147">
        <f t="shared" si="0"/>
        <v>-3.2815198618307395E-2</v>
      </c>
      <c r="F14" s="146">
        <v>0</v>
      </c>
      <c r="G14" s="147">
        <f t="shared" si="3"/>
        <v>-1</v>
      </c>
      <c r="H14" s="146">
        <v>2494</v>
      </c>
      <c r="I14" s="147" t="str">
        <f t="shared" si="4"/>
        <v>-</v>
      </c>
      <c r="J14" s="146">
        <v>4520</v>
      </c>
      <c r="K14" s="147">
        <f t="shared" si="5"/>
        <v>0.81234963913392133</v>
      </c>
      <c r="L14" s="146">
        <v>4181</v>
      </c>
      <c r="M14" s="147">
        <f t="shared" si="1"/>
        <v>-7.4999999999999956E-2</v>
      </c>
      <c r="N14" s="146">
        <v>3964</v>
      </c>
      <c r="O14" s="147">
        <f t="shared" si="6"/>
        <v>-5.1901458981104986E-2</v>
      </c>
      <c r="P14" s="146">
        <v>4119</v>
      </c>
      <c r="Q14" s="147">
        <f t="shared" si="2"/>
        <v>3.9101917255297769E-2</v>
      </c>
    </row>
    <row r="15" spans="1:18" x14ac:dyDescent="0.25">
      <c r="A15" s="1" t="s">
        <v>84</v>
      </c>
      <c r="B15" s="145" t="s">
        <v>85</v>
      </c>
      <c r="C15" s="146">
        <v>4147</v>
      </c>
      <c r="D15" s="146">
        <v>4387</v>
      </c>
      <c r="E15" s="147">
        <f t="shared" si="0"/>
        <v>5.7873161321437161E-2</v>
      </c>
      <c r="F15" s="146">
        <v>0</v>
      </c>
      <c r="G15" s="147">
        <f t="shared" si="3"/>
        <v>-1</v>
      </c>
      <c r="H15" s="146">
        <v>2428</v>
      </c>
      <c r="I15" s="147" t="str">
        <f t="shared" si="4"/>
        <v>-</v>
      </c>
      <c r="J15" s="146">
        <v>4275</v>
      </c>
      <c r="K15" s="147">
        <f t="shared" si="5"/>
        <v>0.76070840197693568</v>
      </c>
      <c r="L15" s="146">
        <v>4340</v>
      </c>
      <c r="M15" s="147">
        <f t="shared" si="1"/>
        <v>1.5204678362572999E-2</v>
      </c>
      <c r="N15" s="146">
        <v>4593</v>
      </c>
      <c r="O15" s="147">
        <f t="shared" si="6"/>
        <v>5.8294930875576023E-2</v>
      </c>
      <c r="P15" s="146">
        <v>3637</v>
      </c>
      <c r="Q15" s="147">
        <f t="shared" si="2"/>
        <v>-0.20814282603962553</v>
      </c>
    </row>
    <row r="16" spans="1:18" x14ac:dyDescent="0.25">
      <c r="A16" s="1" t="s">
        <v>86</v>
      </c>
      <c r="B16" s="145" t="s">
        <v>87</v>
      </c>
      <c r="C16" s="146">
        <v>3443</v>
      </c>
      <c r="D16" s="146">
        <v>4223</v>
      </c>
      <c r="E16" s="147">
        <f t="shared" si="0"/>
        <v>0.22654661632297413</v>
      </c>
      <c r="F16" s="146">
        <v>2777</v>
      </c>
      <c r="G16" s="147">
        <f t="shared" si="3"/>
        <v>-0.34241060857210515</v>
      </c>
      <c r="H16" s="146">
        <v>2929</v>
      </c>
      <c r="I16" s="147">
        <f t="shared" si="4"/>
        <v>5.473532589124952E-2</v>
      </c>
      <c r="J16" s="146">
        <v>3932</v>
      </c>
      <c r="K16" s="147">
        <f t="shared" si="5"/>
        <v>0.34243769204506647</v>
      </c>
      <c r="L16" s="146">
        <v>4645</v>
      </c>
      <c r="M16" s="147">
        <f t="shared" si="1"/>
        <v>0.18133265513733465</v>
      </c>
      <c r="N16" s="146">
        <v>2899</v>
      </c>
      <c r="O16" s="147">
        <f t="shared" si="6"/>
        <v>-0.37588805166846073</v>
      </c>
      <c r="P16" s="146">
        <v>4117</v>
      </c>
      <c r="Q16" s="147">
        <f t="shared" si="2"/>
        <v>0.42014487754398067</v>
      </c>
    </row>
    <row r="17" spans="1:17" x14ac:dyDescent="0.25">
      <c r="A17" s="1" t="s">
        <v>88</v>
      </c>
      <c r="B17" s="145" t="s">
        <v>89</v>
      </c>
      <c r="C17" s="146">
        <v>3174</v>
      </c>
      <c r="D17" s="146">
        <v>3835</v>
      </c>
      <c r="E17" s="147">
        <f t="shared" si="0"/>
        <v>0.20825456836798995</v>
      </c>
      <c r="F17" s="146">
        <v>1764</v>
      </c>
      <c r="G17" s="147">
        <f t="shared" si="3"/>
        <v>-0.54002607561929594</v>
      </c>
      <c r="H17" s="146">
        <v>3914</v>
      </c>
      <c r="I17" s="147">
        <f t="shared" si="4"/>
        <v>1.2188208616780045</v>
      </c>
      <c r="J17" s="146">
        <v>4578</v>
      </c>
      <c r="K17" s="147">
        <f t="shared" si="5"/>
        <v>0.16964741951967288</v>
      </c>
      <c r="L17" s="146">
        <v>4521</v>
      </c>
      <c r="M17" s="147">
        <f t="shared" si="1"/>
        <v>-1.2450851900393189E-2</v>
      </c>
      <c r="N17" s="146">
        <v>5087</v>
      </c>
      <c r="O17" s="147">
        <f t="shared" si="6"/>
        <v>0.12519354125193538</v>
      </c>
      <c r="P17" s="146">
        <v>4387</v>
      </c>
      <c r="Q17" s="147">
        <f t="shared" si="2"/>
        <v>-0.13760566149007269</v>
      </c>
    </row>
    <row r="18" spans="1:17" x14ac:dyDescent="0.25">
      <c r="A18" s="1" t="s">
        <v>90</v>
      </c>
      <c r="B18" s="145" t="s">
        <v>91</v>
      </c>
      <c r="C18" s="146">
        <v>4636</v>
      </c>
      <c r="D18" s="146">
        <v>4677</v>
      </c>
      <c r="E18" s="147">
        <f t="shared" si="0"/>
        <v>8.8438308886971129E-3</v>
      </c>
      <c r="F18" s="146">
        <v>1764</v>
      </c>
      <c r="G18" s="147">
        <f t="shared" si="3"/>
        <v>-0.62283515073765239</v>
      </c>
      <c r="H18" s="146">
        <v>3380</v>
      </c>
      <c r="I18" s="147">
        <f t="shared" si="4"/>
        <v>0.91609977324263037</v>
      </c>
      <c r="J18" s="146">
        <v>4025</v>
      </c>
      <c r="K18" s="147">
        <f t="shared" si="5"/>
        <v>0.19082840236686383</v>
      </c>
      <c r="L18" s="146">
        <v>4419</v>
      </c>
      <c r="M18" s="147">
        <f t="shared" si="1"/>
        <v>9.7888198757764E-2</v>
      </c>
      <c r="N18" s="146">
        <v>4919</v>
      </c>
      <c r="O18" s="147">
        <f t="shared" si="6"/>
        <v>0.11314777098891149</v>
      </c>
      <c r="P18" s="146">
        <v>5990</v>
      </c>
      <c r="Q18" s="147">
        <f t="shared" si="2"/>
        <v>0.21772718032120353</v>
      </c>
    </row>
    <row r="19" spans="1:17" x14ac:dyDescent="0.25">
      <c r="A19" s="1" t="s">
        <v>92</v>
      </c>
      <c r="B19" s="145" t="s">
        <v>93</v>
      </c>
      <c r="C19" s="146">
        <v>5331</v>
      </c>
      <c r="D19" s="146">
        <v>6020</v>
      </c>
      <c r="E19" s="147">
        <f t="shared" si="0"/>
        <v>0.12924404426936786</v>
      </c>
      <c r="F19" s="146">
        <v>1763</v>
      </c>
      <c r="G19" s="147">
        <f t="shared" si="3"/>
        <v>-0.70714285714285707</v>
      </c>
      <c r="H19" s="146">
        <v>4448</v>
      </c>
      <c r="I19" s="147">
        <f t="shared" si="4"/>
        <v>1.5229722064662505</v>
      </c>
      <c r="J19" s="146">
        <v>4838</v>
      </c>
      <c r="K19" s="147">
        <f t="shared" si="5"/>
        <v>8.7679856115107979E-2</v>
      </c>
      <c r="L19" s="146">
        <v>4964</v>
      </c>
      <c r="M19" s="147">
        <f t="shared" si="1"/>
        <v>2.6043819760231512E-2</v>
      </c>
      <c r="N19" s="146">
        <v>5464</v>
      </c>
      <c r="O19" s="147">
        <f t="shared" si="6"/>
        <v>0.10072522159548747</v>
      </c>
      <c r="P19" s="146" t="s">
        <v>233</v>
      </c>
      <c r="Q19" s="147" t="str">
        <f t="shared" si="2"/>
        <v>-</v>
      </c>
    </row>
    <row r="20" spans="1:17" x14ac:dyDescent="0.25">
      <c r="A20" s="1" t="s">
        <v>94</v>
      </c>
      <c r="B20" s="145" t="s">
        <v>95</v>
      </c>
      <c r="C20" s="146">
        <v>5384</v>
      </c>
      <c r="D20" s="146">
        <v>5767</v>
      </c>
      <c r="E20" s="147">
        <f t="shared" si="0"/>
        <v>7.113670133729566E-2</v>
      </c>
      <c r="F20" s="146">
        <v>1794</v>
      </c>
      <c r="G20" s="147">
        <f t="shared" si="3"/>
        <v>-0.6889197156233744</v>
      </c>
      <c r="H20" s="146">
        <v>4543</v>
      </c>
      <c r="I20" s="147">
        <f t="shared" si="4"/>
        <v>1.5323299888517279</v>
      </c>
      <c r="J20" s="146">
        <v>5166</v>
      </c>
      <c r="K20" s="147">
        <f t="shared" si="5"/>
        <v>0.13713405238828957</v>
      </c>
      <c r="L20" s="146">
        <v>4585</v>
      </c>
      <c r="M20" s="147">
        <f t="shared" si="1"/>
        <v>-0.11246612466124661</v>
      </c>
      <c r="N20" s="146">
        <v>5228</v>
      </c>
      <c r="O20" s="147">
        <f t="shared" si="6"/>
        <v>0.14023991275899683</v>
      </c>
      <c r="P20" s="146" t="s">
        <v>233</v>
      </c>
      <c r="Q20" s="147" t="str">
        <f t="shared" si="2"/>
        <v>-</v>
      </c>
    </row>
    <row r="21" spans="1:17" ht="15.75" x14ac:dyDescent="0.25">
      <c r="A21" s="1" t="s">
        <v>0</v>
      </c>
      <c r="B21" s="148" t="s">
        <v>32</v>
      </c>
      <c r="C21" s="149">
        <v>53986</v>
      </c>
      <c r="D21" s="149">
        <v>55887</v>
      </c>
      <c r="E21" s="150">
        <f t="shared" si="0"/>
        <v>3.521283295669253E-2</v>
      </c>
      <c r="F21" s="149">
        <v>24221</v>
      </c>
      <c r="G21" s="150">
        <f>F21/D21-1</f>
        <v>-0.56660761894537193</v>
      </c>
      <c r="H21" s="149">
        <v>33444</v>
      </c>
      <c r="I21" s="150">
        <f t="shared" si="4"/>
        <v>0.38078526898146237</v>
      </c>
      <c r="J21" s="149">
        <v>51485</v>
      </c>
      <c r="K21" s="150">
        <f t="shared" si="5"/>
        <v>0.53943906231312044</v>
      </c>
      <c r="L21" s="149">
        <v>58157</v>
      </c>
      <c r="M21" s="150">
        <f t="shared" si="1"/>
        <v>0.12959114305137409</v>
      </c>
      <c r="N21" s="149">
        <v>57388</v>
      </c>
      <c r="O21" s="150">
        <f t="shared" si="6"/>
        <v>-1.3222827862510056E-2</v>
      </c>
      <c r="P21" s="149">
        <v>46403</v>
      </c>
      <c r="Q21" s="150">
        <v>-6.2746273770772909E-3</v>
      </c>
    </row>
    <row r="22" spans="1:17" ht="6" customHeight="1" x14ac:dyDescent="0.25"/>
    <row r="23" spans="1:17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46"/>
      <c r="Q23" s="131"/>
    </row>
  </sheetData>
  <mergeCells count="9">
    <mergeCell ref="B4:Q4"/>
    <mergeCell ref="C6:Q6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d4781399f7aed0b68e7407d818a69065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b0a175a10d45345a6d323a14e8084857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4AEC3388-B516-410B-9984-CF5B2C810C17}"/>
</file>

<file path=customXml/itemProps2.xml><?xml version="1.0" encoding="utf-8"?>
<ds:datastoreItem xmlns:ds="http://schemas.openxmlformats.org/officeDocument/2006/customXml" ds:itemID="{B6812102-6E79-4F6E-ACBC-19D41C36911A}"/>
</file>

<file path=customXml/itemProps3.xml><?xml version="1.0" encoding="utf-8"?>
<ds:datastoreItem xmlns:ds="http://schemas.openxmlformats.org/officeDocument/2006/customXml" ds:itemID="{40B6C979-B989-426F-86F0-8BEAC2386F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48</vt:i4>
      </vt:variant>
      <vt:variant>
        <vt:lpstr>Rangos con nombre</vt:lpstr>
      </vt:variant>
      <vt:variant>
        <vt:i4>17</vt:i4>
      </vt:variant>
    </vt:vector>
  </HeadingPairs>
  <TitlesOfParts>
    <vt:vector size="65" baseType="lpstr">
      <vt:lpstr>Menú principal</vt:lpstr>
      <vt:lpstr>Resumen indicadores (aloj)</vt:lpstr>
      <vt:lpstr>Resumen indicadores municipios </vt:lpstr>
      <vt:lpstr>Oferta alojativa</vt:lpstr>
      <vt:lpstr>Plazas aloj islas cat y tipolog</vt:lpstr>
      <vt:lpstr>Establecim aloj islas cat y tip</vt:lpstr>
      <vt:lpstr>viajeros entrados</vt:lpstr>
      <vt:lpstr>Viajeros entr evol mensu TF</vt:lpstr>
      <vt:lpstr>Viajeros entr evol mensu TF15-2</vt:lpstr>
      <vt:lpstr>Viajeros entr evol mensu TF cat</vt:lpstr>
      <vt:lpstr>Viajeros entr evol anual TF cat</vt:lpstr>
      <vt:lpstr>Viajeros entr ti-cat ultimo mes</vt:lpstr>
      <vt:lpstr>viaj entrados lugar resid años </vt:lpstr>
      <vt:lpstr>viaj entrados lugar residencia</vt:lpstr>
      <vt:lpstr>viaj entrados lugar residen acu</vt:lpstr>
      <vt:lpstr>viaj entrados lugar residen hot</vt:lpstr>
      <vt:lpstr>viaj entrados lugar residen apt</vt:lpstr>
      <vt:lpstr>viaj entrados lugar residen cat</vt:lpstr>
      <vt:lpstr>viaj entr lugar res año categor</vt:lpstr>
      <vt:lpstr>viajeros alojados</vt:lpstr>
      <vt:lpstr>viaj aloj lugar residen mes</vt:lpstr>
      <vt:lpstr>viaj alojados lugar residen acu</vt:lpstr>
      <vt:lpstr>Pernoctaciones</vt:lpstr>
      <vt:lpstr>Pernoctaciones evol mensu TF</vt:lpstr>
      <vt:lpstr>Pernocta evol mensu TF cat</vt:lpstr>
      <vt:lpstr>Pernoctaciones lugar reside</vt:lpstr>
      <vt:lpstr>Pernoctaciones lugar residen ac</vt:lpstr>
      <vt:lpstr>Pernoctaciones lugar reside año</vt:lpstr>
      <vt:lpstr>Estancia media</vt:lpstr>
      <vt:lpstr>EM evol menusual lugar resd</vt:lpstr>
      <vt:lpstr>EM evol mensu TF cat </vt:lpstr>
      <vt:lpstr>Tasa de ocupación</vt:lpstr>
      <vt:lpstr>tasa de ocupación evol mens</vt:lpstr>
      <vt:lpstr>indicadores rentabilidad</vt:lpstr>
      <vt:lpstr>ADR RevPAR ingresos totales ult</vt:lpstr>
      <vt:lpstr>ADR municipios</vt:lpstr>
      <vt:lpstr>RevPAR  municipios</vt:lpstr>
      <vt:lpstr>viajeros españoles</vt:lpstr>
      <vt:lpstr>distribución españoles x Resid</vt:lpstr>
      <vt:lpstr>distribución españoles x cate</vt:lpstr>
      <vt:lpstr>distribución peninsulare x cate</vt:lpstr>
      <vt:lpstr>distribución canarios x cate</vt:lpstr>
      <vt:lpstr>distribución españoles x mun al</vt:lpstr>
      <vt:lpstr>distribución peninsula x munici</vt:lpstr>
      <vt:lpstr>distribución canarias x munici</vt:lpstr>
      <vt:lpstr>evolución anual viaj ent españo</vt:lpstr>
      <vt:lpstr>evolución anual viaj ent penins</vt:lpstr>
      <vt:lpstr>evolución anual viaj ent canari</vt:lpstr>
      <vt:lpstr>'distribución canarias x munici'!Área_de_impresión</vt:lpstr>
      <vt:lpstr>'distribución canarios x cate'!Área_de_impresión</vt:lpstr>
      <vt:lpstr>'distribución españoles x cate'!Área_de_impresión</vt:lpstr>
      <vt:lpstr>'distribución españoles x mun al'!Área_de_impresión</vt:lpstr>
      <vt:lpstr>'distribución españoles x Resid'!Área_de_impresión</vt:lpstr>
      <vt:lpstr>'distribución peninsula x munici'!Área_de_impresión</vt:lpstr>
      <vt:lpstr>'distribución peninsulare x cate'!Área_de_impresión</vt:lpstr>
      <vt:lpstr>'Pernoctaciones lugar reside'!Área_de_impresión</vt:lpstr>
      <vt:lpstr>'Pernoctaciones lugar reside año'!Área_de_impresión</vt:lpstr>
      <vt:lpstr>'Pernoctaciones lugar residen ac'!Área_de_impresión</vt:lpstr>
      <vt:lpstr>'viaj alojados lugar residen acu'!Área_de_impresión</vt:lpstr>
      <vt:lpstr>'viaj entr lugar res año categor'!Área_de_impresión</vt:lpstr>
      <vt:lpstr>'viaj entrados lugar resid años '!Área_de_impresión</vt:lpstr>
      <vt:lpstr>'viaj entrados lugar residen acu'!Área_de_impresión</vt:lpstr>
      <vt:lpstr>'viaj entrados lugar residen apt'!Área_de_impresión</vt:lpstr>
      <vt:lpstr>'viaj entrados lugar residen cat'!Área_de_impresión</vt:lpstr>
      <vt:lpstr>'viaj entrados lugar residen hot'!Área_de_impresión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González Pérez</dc:creator>
  <cp:lastModifiedBy>Omaira González Pérez</cp:lastModifiedBy>
  <dcterms:created xsi:type="dcterms:W3CDTF">2025-11-27T08:54:46Z</dcterms:created>
  <dcterms:modified xsi:type="dcterms:W3CDTF">2025-11-27T08:55:48Z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0x010100F969C42FB1FA284BA60CDF94DEB4DBF3</vt:lpwstr>
  </property>
</Properties>
</file>